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riveD\Nikan_Docs\NikLine\NikLine_Content\"/>
    </mc:Choice>
  </mc:AlternateContent>
  <xr:revisionPtr revIDLastSave="0" documentId="13_ncr:1_{964E75E0-0E91-41AF-AA2F-006F90B59E4C}" xr6:coauthVersionLast="47" xr6:coauthVersionMax="47" xr10:uidLastSave="{00000000-0000-0000-0000-000000000000}"/>
  <bookViews>
    <workbookView xWindow="-120" yWindow="-120" windowWidth="21840" windowHeight="13140" xr2:uid="{0A56B810-054C-4D5B-83E4-FBFA6B36FA5F}"/>
  </bookViews>
  <sheets>
    <sheet name="محاسبه ماليات ساليانه 1" sheetId="3" r:id="rId1"/>
    <sheet name="محاسبه ماليات ساليانه 2" sheetId="1" r:id="rId2"/>
    <sheet name="جدول مالیات" sheetId="2" r:id="rId3"/>
  </sheets>
  <externalReferences>
    <externalReference r:id="rId4"/>
  </externalReferenc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J9" i="1"/>
  <c r="J8" i="1"/>
  <c r="C4" i="1"/>
  <c r="E7" i="3"/>
  <c r="M5" i="1"/>
  <c r="M6" i="1"/>
  <c r="M7" i="1"/>
  <c r="M8" i="1"/>
  <c r="M9" i="1"/>
  <c r="M10" i="1"/>
  <c r="M11" i="1"/>
  <c r="M12" i="1"/>
  <c r="M13" i="1"/>
  <c r="M14" i="1"/>
  <c r="M15" i="1"/>
  <c r="M4" i="1"/>
  <c r="H11" i="3"/>
  <c r="I11" i="3" s="1"/>
  <c r="H12" i="3"/>
  <c r="I12" i="3" s="1"/>
  <c r="H14" i="3"/>
  <c r="I14" i="3" s="1"/>
  <c r="H15" i="3"/>
  <c r="I15" i="3" s="1"/>
  <c r="G5" i="3"/>
  <c r="G6" i="3"/>
  <c r="G7" i="3"/>
  <c r="G8" i="3"/>
  <c r="G9" i="3"/>
  <c r="G11" i="3"/>
  <c r="G12" i="3"/>
  <c r="G13" i="3"/>
  <c r="H13" i="3" s="1"/>
  <c r="I13" i="3" s="1"/>
  <c r="G14" i="3"/>
  <c r="G15" i="3"/>
  <c r="G4" i="3"/>
  <c r="E5" i="3"/>
  <c r="E6" i="3"/>
  <c r="E8" i="3"/>
  <c r="E9" i="3"/>
  <c r="E10" i="3"/>
  <c r="G10" i="3" s="1"/>
  <c r="H10" i="3" s="1"/>
  <c r="I10" i="3" s="1"/>
  <c r="E11" i="3"/>
  <c r="E12" i="3"/>
  <c r="E13" i="3"/>
  <c r="E14" i="3"/>
  <c r="E15" i="3"/>
  <c r="F16" i="3"/>
  <c r="D16" i="3"/>
  <c r="C16" i="3"/>
  <c r="E4" i="3"/>
  <c r="E16" i="3" l="1"/>
  <c r="L11" i="1" l="1"/>
  <c r="L12" i="1"/>
  <c r="L13" i="1"/>
  <c r="L14" i="1"/>
  <c r="L15" i="1"/>
  <c r="L10" i="1"/>
  <c r="E10" i="1"/>
  <c r="C10" i="1"/>
  <c r="E9" i="1"/>
  <c r="C9" i="1"/>
  <c r="E8" i="1"/>
  <c r="C8" i="1"/>
  <c r="J5" i="1"/>
  <c r="J6" i="1"/>
  <c r="J7" i="1"/>
  <c r="J11" i="1"/>
  <c r="J12" i="1"/>
  <c r="J13" i="1"/>
  <c r="J14" i="1"/>
  <c r="J15" i="1"/>
  <c r="J4" i="1"/>
  <c r="E7" i="1"/>
  <c r="C7" i="1"/>
  <c r="G7" i="1" s="1"/>
  <c r="E6" i="1"/>
  <c r="C6" i="1"/>
  <c r="E5" i="1"/>
  <c r="C5" i="1"/>
  <c r="G5" i="1" s="1"/>
  <c r="F10" i="1"/>
  <c r="D10" i="1"/>
  <c r="F9" i="1"/>
  <c r="D9" i="1"/>
  <c r="F8" i="1"/>
  <c r="D8" i="1"/>
  <c r="F7" i="1"/>
  <c r="D7" i="1"/>
  <c r="F6" i="1"/>
  <c r="D6" i="1"/>
  <c r="F5" i="1"/>
  <c r="D5" i="1"/>
  <c r="E4" i="1"/>
  <c r="H16" i="1"/>
  <c r="F4" i="1"/>
  <c r="D4" i="1"/>
  <c r="G10" i="1"/>
  <c r="G11" i="1"/>
  <c r="K11" i="1" s="1"/>
  <c r="G12" i="1"/>
  <c r="K12" i="1" s="1"/>
  <c r="G13" i="1"/>
  <c r="K13" i="1" s="1"/>
  <c r="G14" i="1"/>
  <c r="K14" i="1" s="1"/>
  <c r="G15" i="1"/>
  <c r="K15" i="1" s="1"/>
  <c r="G8" i="1"/>
  <c r="G10" i="2"/>
  <c r="C10" i="2"/>
  <c r="D10" i="2" s="1"/>
  <c r="H9" i="2"/>
  <c r="G9" i="2"/>
  <c r="C9" i="2"/>
  <c r="D9" i="2" s="1"/>
  <c r="H8" i="2"/>
  <c r="G8" i="2"/>
  <c r="C8" i="2"/>
  <c r="D8" i="2" s="1"/>
  <c r="G7" i="2"/>
  <c r="C7" i="2"/>
  <c r="H7" i="2" s="1"/>
  <c r="I7" i="2" s="1"/>
  <c r="I6" i="2"/>
  <c r="G6" i="2"/>
  <c r="G9" i="1" l="1"/>
  <c r="J16" i="1"/>
  <c r="G6" i="1"/>
  <c r="G4" i="1"/>
  <c r="K4" i="1" s="1"/>
  <c r="E16" i="1"/>
  <c r="I8" i="2"/>
  <c r="I9" i="2" s="1"/>
  <c r="D7" i="2"/>
  <c r="K10" i="1" l="1"/>
  <c r="K8" i="1"/>
  <c r="K9" i="1"/>
  <c r="K7" i="1"/>
  <c r="K6" i="1"/>
  <c r="K5" i="1"/>
  <c r="I10" i="2"/>
  <c r="F14" i="2"/>
  <c r="F16" i="1" l="1"/>
  <c r="I16" i="1"/>
  <c r="C16" i="1"/>
  <c r="L8" i="1" l="1"/>
  <c r="L4" i="1"/>
  <c r="L5" i="1"/>
  <c r="L7" i="1"/>
  <c r="L9" i="1"/>
  <c r="G16" i="1"/>
  <c r="L6" i="1"/>
  <c r="K16" i="1" l="1"/>
  <c r="M16" i="1" l="1"/>
  <c r="H4" i="3"/>
  <c r="I4" i="3" s="1"/>
  <c r="H5" i="3"/>
  <c r="H8" i="3"/>
  <c r="H6" i="3"/>
  <c r="H9" i="3"/>
  <c r="H7" i="3"/>
  <c r="G16" i="3"/>
  <c r="I9" i="3" l="1"/>
  <c r="I6" i="3"/>
  <c r="I7" i="3"/>
  <c r="I8" i="3"/>
  <c r="I5" i="3"/>
  <c r="I16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C3" authorId="0" shapeId="0" xr:uid="{B4FC68F6-DE8E-4A0C-9C93-15F6F31964F9}">
      <text>
        <r>
          <rPr>
            <b/>
            <sz val="9"/>
            <color indexed="81"/>
            <rFont val="Tahoma"/>
            <family val="2"/>
          </rPr>
          <t>NikLine
در اين قسمت جمع كليه حقوق و مزاياي مشمول و غيرمشمول از زديف 1 تا رديف 26 جدول ماليات حقوق ثبت گردد</t>
        </r>
      </text>
    </comment>
    <comment ref="D3" authorId="0" shapeId="0" xr:uid="{0C2FB911-6F72-4EF6-9A3F-BF436FC76D6B}">
      <text>
        <r>
          <rPr>
            <b/>
            <sz val="9"/>
            <color indexed="81"/>
            <rFont val="Tahoma"/>
            <family val="2"/>
          </rPr>
          <t>NikLine
در اين قسمت جمع معافيت ها بعلاوه كسورات بيمه سهم كارگر و بيمه تكميلي در صورتي كه در سامانه ماليات حقوق ثبت شده وارد گردد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C3" authorId="0" shapeId="0" xr:uid="{F99E1AB3-65C1-4EC8-830A-520BD624B9CF}">
      <text>
        <r>
          <rPr>
            <b/>
            <sz val="9"/>
            <color indexed="81"/>
            <rFont val="Tahoma"/>
            <family val="2"/>
          </rPr>
          <t>NikLine
در اين قسمت جمع كليه حقوق و مزاياي مشمول و غيرمشمول از زديف 1 تا رديف 26 جدول ماليات حقوق ثبت گردد</t>
        </r>
      </text>
    </comment>
    <comment ref="D3" authorId="0" shapeId="0" xr:uid="{3FC68BF2-07D1-4944-86BB-10BA13FBD445}">
      <text>
        <r>
          <rPr>
            <b/>
            <sz val="9"/>
            <color indexed="81"/>
            <rFont val="Tahoma"/>
            <family val="2"/>
          </rPr>
          <t>NikLine
در اين قسمت جمع كليه حقوق و مزاياي مشمول و غيرمشمول از زديف 1 تا رديف 26 جدول ماليات حقوق ثبت گردد</t>
        </r>
      </text>
    </comment>
    <comment ref="E3" authorId="0" shapeId="0" xr:uid="{9F21E21C-1715-4927-B14E-3210618E5AF8}">
      <text>
        <r>
          <rPr>
            <b/>
            <sz val="9"/>
            <color indexed="81"/>
            <rFont val="Tahoma"/>
            <family val="2"/>
          </rPr>
          <t>NikLine
در اين قسمت جمع معافيت ها بعلاوه كسورات بيمه سهم كارگر و بيمه تكميلي در صورتي كه در سامانه ماليات حقوق ثبت شده وارد گردد</t>
        </r>
      </text>
    </comment>
    <comment ref="F3" authorId="0" shapeId="0" xr:uid="{C6E3FCA7-AF0F-4948-8524-451C216E64CD}">
      <text>
        <r>
          <rPr>
            <b/>
            <sz val="9"/>
            <color indexed="81"/>
            <rFont val="Tahoma"/>
            <family val="2"/>
          </rPr>
          <t>NikLine
در اين قسمت جمع معافيت ها بعلاوه كسورات بيمه سهم كارگر و بيمه تكميلي در صورتي كه در سامانه ماليات حقوق ثبت شده وارد گردد</t>
        </r>
      </text>
    </comment>
    <comment ref="H4" authorId="0" shapeId="0" xr:uid="{E28F0F5F-7203-4EBD-9ED5-BCC1C5B2AA07}">
      <text>
        <r>
          <rPr>
            <b/>
            <sz val="9"/>
            <color indexed="81"/>
            <rFont val="Tahoma"/>
            <family val="2"/>
          </rPr>
          <t xml:space="preserve">تاریخ ارسال فهرست 1403/03/13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4" authorId="0" shapeId="0" xr:uid="{66D3701C-9D03-4C1D-A9CD-AA77454A451B}">
      <text>
        <r>
          <rPr>
            <b/>
            <sz val="9"/>
            <color indexed="81"/>
            <rFont val="Tahoma"/>
            <family val="2"/>
          </rPr>
          <t>تاریخ ارسال فهرست 1403/03/19</t>
        </r>
      </text>
    </comment>
    <comment ref="H5" authorId="0" shapeId="0" xr:uid="{10DAA4D7-E9BD-4593-98F9-1314ADC0639F}">
      <text>
        <r>
          <rPr>
            <b/>
            <sz val="9"/>
            <color indexed="81"/>
            <rFont val="Tahoma"/>
            <family val="2"/>
          </rPr>
          <t xml:space="preserve">تاریخ ارسال فهرست 1403/04/19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5" authorId="0" shapeId="0" xr:uid="{7A89AE18-2845-4DAF-A6D4-3F7AAAE10A11}">
      <text>
        <r>
          <rPr>
            <b/>
            <sz val="9"/>
            <color indexed="81"/>
            <rFont val="Tahoma"/>
            <family val="2"/>
          </rPr>
          <t xml:space="preserve">تاریخ ارسال فهرست 1403/04/23
</t>
        </r>
      </text>
    </comment>
    <comment ref="H6" authorId="0" shapeId="0" xr:uid="{784143A3-0680-4016-B539-874F40342409}">
      <text>
        <r>
          <rPr>
            <b/>
            <sz val="9"/>
            <color indexed="81"/>
            <rFont val="Tahoma"/>
            <family val="2"/>
          </rPr>
          <t xml:space="preserve">تاریخ ارسال فهرست 1403/04/31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6" authorId="0" shapeId="0" xr:uid="{1B69FEF2-5DC8-44A0-8C5F-FC49C1A7F94C}">
      <text>
        <r>
          <rPr>
            <b/>
            <sz val="9"/>
            <color indexed="81"/>
            <rFont val="Tahoma"/>
            <family val="2"/>
          </rPr>
          <t xml:space="preserve">تاریخ ارسال فهرست 1403/04/23
</t>
        </r>
      </text>
    </comment>
    <comment ref="H7" authorId="0" shapeId="0" xr:uid="{B1AF793B-C329-46C6-AE05-C80E51962406}">
      <text>
        <r>
          <rPr>
            <b/>
            <sz val="9"/>
            <color indexed="81"/>
            <rFont val="Tahoma"/>
            <family val="2"/>
          </rPr>
          <t xml:space="preserve">تاریخ ارسال فهرست 1403/05/30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7" authorId="0" shapeId="0" xr:uid="{0C797AF4-71A8-4026-9FFF-A2B62EE4DB06}">
      <text>
        <r>
          <rPr>
            <b/>
            <sz val="9"/>
            <color indexed="81"/>
            <rFont val="Tahoma"/>
            <family val="2"/>
          </rPr>
          <t xml:space="preserve">تاریخ ارسال فهرست 1403/05/14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8" authorId="0" shapeId="0" xr:uid="{E67AFEB4-DA2D-47AE-B648-2B1F523217A7}">
      <text>
        <r>
          <rPr>
            <b/>
            <sz val="9"/>
            <color indexed="81"/>
            <rFont val="Tahoma"/>
            <family val="2"/>
          </rPr>
          <t xml:space="preserve">تاریخ ارسال فهرست 1403/06/06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8" authorId="0" shapeId="0" xr:uid="{940907B3-F3F4-4EEC-88D8-75F74C0F1698}">
      <text>
        <r>
          <rPr>
            <b/>
            <sz val="9"/>
            <color indexed="81"/>
            <rFont val="Tahoma"/>
            <family val="2"/>
          </rPr>
          <t xml:space="preserve">تاریخ ارسال فهرست 1403/06/17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9" authorId="0" shapeId="0" xr:uid="{96DC4CFF-A1A3-4CC9-8EC0-292D63540A3C}">
      <text>
        <r>
          <rPr>
            <b/>
            <sz val="9"/>
            <color indexed="81"/>
            <rFont val="Tahoma"/>
            <family val="2"/>
          </rPr>
          <t xml:space="preserve">تاریخ ارسال فهرست 1403/07/04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9" authorId="0" shapeId="0" xr:uid="{07C23E04-47FC-4A70-8E1A-3F7173CFA252}">
      <text>
        <r>
          <rPr>
            <b/>
            <sz val="9"/>
            <color indexed="81"/>
            <rFont val="Tahoma"/>
            <family val="2"/>
          </rPr>
          <t xml:space="preserve">تاریخ ارسال فهرست 1403/07/23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10" authorId="0" shapeId="0" xr:uid="{D3BE7C1F-22E5-4704-AB1B-F6C0467F4B99}">
      <text>
        <r>
          <rPr>
            <b/>
            <sz val="9"/>
            <color indexed="81"/>
            <rFont val="Tahoma"/>
            <family val="2"/>
          </rPr>
          <t xml:space="preserve">تاریخ ارسال فهرست 1403/08/02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10" authorId="0" shapeId="0" xr:uid="{2DC7C47B-B33E-4C50-AAEF-589B7983D26D}">
      <text>
        <r>
          <rPr>
            <b/>
            <sz val="9"/>
            <color indexed="81"/>
            <rFont val="Tahoma"/>
            <family val="2"/>
          </rPr>
          <t xml:space="preserve">تاریخ ارسال فهرست 1403/07/30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<sst xmlns="http://schemas.openxmlformats.org/spreadsheetml/2006/main" count="78" uniqueCount="46">
  <si>
    <t>ماه</t>
  </si>
  <si>
    <t>فروردين</t>
  </si>
  <si>
    <t>جمع مشمول تا ماه جاري</t>
  </si>
  <si>
    <t>ارديبهشت</t>
  </si>
  <si>
    <t>خرداد</t>
  </si>
  <si>
    <t>تير</t>
  </si>
  <si>
    <t>مرداد</t>
  </si>
  <si>
    <t>شهريور</t>
  </si>
  <si>
    <t>مهر</t>
  </si>
  <si>
    <t>آبان</t>
  </si>
  <si>
    <t>آذر</t>
  </si>
  <si>
    <t>دي</t>
  </si>
  <si>
    <t>بهمن</t>
  </si>
  <si>
    <t>اسفند</t>
  </si>
  <si>
    <t>جمع</t>
  </si>
  <si>
    <t>خالص مشمول</t>
  </si>
  <si>
    <t>ماهانه</t>
  </si>
  <si>
    <t>سالانه</t>
  </si>
  <si>
    <t>ثابت پله ماهانه</t>
  </si>
  <si>
    <t>جمع تا پلکان</t>
  </si>
  <si>
    <t xml:space="preserve">درصد </t>
  </si>
  <si>
    <t>مزد روزانه</t>
  </si>
  <si>
    <t>بالاتر از</t>
  </si>
  <si>
    <t>و پايين تر از</t>
  </si>
  <si>
    <t>پایه سنوات</t>
  </si>
  <si>
    <t>حق خواروبار</t>
  </si>
  <si>
    <t>حق مسکن</t>
  </si>
  <si>
    <t>مبلغ مشمول مالیات رو وارد کنید</t>
  </si>
  <si>
    <t>مالیات محاسبه شده</t>
  </si>
  <si>
    <t>جدول ماليات حقوق سال 1403</t>
  </si>
  <si>
    <t>جمع ماليات تا ماه جاري</t>
  </si>
  <si>
    <t>ماليات ماه جاري</t>
  </si>
  <si>
    <t>رديف</t>
  </si>
  <si>
    <t>لينك آموزش نحوه ثبت صحيح اطلاعات در جدول ماليات حقوق 1403</t>
  </si>
  <si>
    <t xml:space="preserve">آموزش نحوه كنترل محاسبات ماليات حقوق به روش سالانه </t>
  </si>
  <si>
    <t>فايل اكسل كنترل محاسبات ماليات حقوق با محاسبه سامانه - تهيه و تنطيم توسط امير عموزاد خليلي از گروه نيك لاين</t>
  </si>
  <si>
    <t>جمع درآمد الف</t>
  </si>
  <si>
    <t>جمع درآمد ب</t>
  </si>
  <si>
    <t>جمع معافيت الف</t>
  </si>
  <si>
    <t>جمع معافيت ب</t>
  </si>
  <si>
    <t>ماليات محاسبه شده الف</t>
  </si>
  <si>
    <t>ماليات محاسبه شده ب</t>
  </si>
  <si>
    <t xml:space="preserve">جمع ماليات محاسبه شده </t>
  </si>
  <si>
    <t xml:space="preserve">جمع درآمد  </t>
  </si>
  <si>
    <t>جمع معافيت</t>
  </si>
  <si>
    <t>ماليات محاسبه شده سامانه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</si>
</sst>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-_ ;_ * #,##0.00\-_ ;_ * &quot;-&quot;??_-_ ;_ @_ "/>
    <numFmt numFmtId="164" formatCode="_ * #,##0_-_ ;_ * #,##0\-_ ;_ * &quot;-&quot;??_-_ ;_ @_ "/>
  </numFmts>
  <fonts count="17" x14ac:knownFonts="1"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charset val="178"/>
      <scheme val="minor"/>
    </font>
    <font>
      <sz val="11"/>
      <color theme="1"/>
      <name val="B Nazanin"/>
      <charset val="178"/>
    </font>
    <font>
      <sz val="12"/>
      <color theme="1"/>
      <name val="B Nazanin"/>
      <charset val="178"/>
    </font>
    <font>
      <b/>
      <sz val="12"/>
      <color theme="1"/>
      <name val="B Nazanin"/>
      <charset val="178"/>
    </font>
    <font>
      <b/>
      <sz val="11"/>
      <color theme="1"/>
      <name val="B Nazanin"/>
      <charset val="178"/>
    </font>
    <font>
      <sz val="14"/>
      <color theme="1"/>
      <name val="B Nazanin"/>
      <charset val="178"/>
    </font>
    <font>
      <b/>
      <sz val="14"/>
      <color theme="1"/>
      <name val="B Nazanin"/>
      <charset val="178"/>
    </font>
    <font>
      <sz val="8"/>
      <name val="Arial"/>
      <family val="2"/>
      <charset val="178"/>
      <scheme val="minor"/>
    </font>
    <font>
      <u/>
      <sz val="11"/>
      <color theme="10"/>
      <name val="Arial"/>
      <family val="2"/>
      <charset val="178"/>
      <scheme val="minor"/>
    </font>
    <font>
      <b/>
      <u/>
      <sz val="14"/>
      <color rgb="FFFF0000"/>
      <name val="Arial"/>
      <family val="2"/>
      <scheme val="minor"/>
    </font>
    <font>
      <b/>
      <sz val="15"/>
      <color theme="1"/>
      <name val="B Nazanin"/>
      <charset val="178"/>
    </font>
    <font>
      <b/>
      <u/>
      <sz val="14"/>
      <color rgb="FFFF0000"/>
      <name val="Nazanin"/>
      <charset val="178"/>
    </font>
    <font>
      <b/>
      <sz val="9"/>
      <color indexed="81"/>
      <name val="Tahoma"/>
      <family val="2"/>
    </font>
    <font>
      <u/>
      <sz val="14"/>
      <color theme="10"/>
      <name val="Nazanin"/>
      <charset val="178"/>
    </font>
    <font>
      <b/>
      <sz val="16"/>
      <color theme="1"/>
      <name val="B Nazanin"/>
      <charset val="178"/>
    </font>
    <font>
      <sz val="9"/>
      <color indexed="81"/>
      <name val="Tahoma"/>
      <family val="2"/>
    </font>
  </fonts>
  <fills count="1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69">
    <xf numFmtId="0" fontId="0" fillId="0" borderId="0" xfId="0"/>
    <xf numFmtId="0" fontId="2" fillId="0" borderId="0" xfId="0" applyFont="1"/>
    <xf numFmtId="0" fontId="5" fillId="0" borderId="0" xfId="0" applyFont="1" applyAlignment="1">
      <alignment horizontal="center" vertical="center"/>
    </xf>
    <xf numFmtId="164" fontId="4" fillId="2" borderId="1" xfId="1" applyNumberFormat="1" applyFont="1" applyFill="1" applyBorder="1" applyAlignment="1">
      <alignment horizontal="center" vertical="center"/>
    </xf>
    <xf numFmtId="164" fontId="4" fillId="2" borderId="1" xfId="1" applyNumberFormat="1" applyFont="1" applyFill="1" applyBorder="1" applyAlignment="1">
      <alignment horizontal="center"/>
    </xf>
    <xf numFmtId="164" fontId="3" fillId="0" borderId="0" xfId="1" applyNumberFormat="1" applyFont="1" applyAlignment="1">
      <alignment horizontal="center"/>
    </xf>
    <xf numFmtId="0" fontId="6" fillId="0" borderId="2" xfId="0" applyFont="1" applyBorder="1"/>
    <xf numFmtId="0" fontId="6" fillId="0" borderId="3" xfId="0" applyFont="1" applyBorder="1" applyAlignment="1">
      <alignment horizontal="center" vertical="center"/>
    </xf>
    <xf numFmtId="3" fontId="6" fillId="0" borderId="3" xfId="0" applyNumberFormat="1" applyFont="1" applyBorder="1"/>
    <xf numFmtId="3" fontId="6" fillId="0" borderId="3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/>
    <xf numFmtId="3" fontId="6" fillId="0" borderId="0" xfId="0" applyNumberFormat="1" applyFont="1"/>
    <xf numFmtId="0" fontId="6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3" fontId="6" fillId="0" borderId="0" xfId="0" applyNumberFormat="1" applyFont="1" applyAlignment="1">
      <alignment horizontal="center" vertical="center"/>
    </xf>
    <xf numFmtId="0" fontId="6" fillId="0" borderId="5" xfId="0" applyFont="1" applyBorder="1"/>
    <xf numFmtId="3" fontId="7" fillId="2" borderId="3" xfId="0" applyNumberFormat="1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3" fontId="7" fillId="2" borderId="8" xfId="0" applyNumberFormat="1" applyFont="1" applyFill="1" applyBorder="1" applyAlignment="1">
      <alignment horizontal="center"/>
    </xf>
    <xf numFmtId="3" fontId="7" fillId="2" borderId="9" xfId="0" applyNumberFormat="1" applyFont="1" applyFill="1" applyBorder="1" applyAlignment="1">
      <alignment horizontal="center"/>
    </xf>
    <xf numFmtId="0" fontId="7" fillId="2" borderId="10" xfId="0" applyFont="1" applyFill="1" applyBorder="1" applyAlignment="1">
      <alignment horizontal="center" vertical="center"/>
    </xf>
    <xf numFmtId="0" fontId="6" fillId="5" borderId="11" xfId="0" applyFont="1" applyFill="1" applyBorder="1" applyAlignment="1">
      <alignment horizontal="center" vertical="center"/>
    </xf>
    <xf numFmtId="3" fontId="7" fillId="5" borderId="12" xfId="0" applyNumberFormat="1" applyFont="1" applyFill="1" applyBorder="1"/>
    <xf numFmtId="3" fontId="6" fillId="5" borderId="12" xfId="0" applyNumberFormat="1" applyFont="1" applyFill="1" applyBorder="1" applyAlignment="1">
      <alignment horizontal="center" vertical="center"/>
    </xf>
    <xf numFmtId="3" fontId="7" fillId="5" borderId="12" xfId="0" applyNumberFormat="1" applyFont="1" applyFill="1" applyBorder="1" applyAlignment="1">
      <alignment horizontal="left"/>
    </xf>
    <xf numFmtId="0" fontId="7" fillId="5" borderId="1" xfId="0" applyFont="1" applyFill="1" applyBorder="1" applyAlignment="1">
      <alignment horizontal="center" vertical="center"/>
    </xf>
    <xf numFmtId="0" fontId="6" fillId="6" borderId="11" xfId="0" applyFont="1" applyFill="1" applyBorder="1" applyAlignment="1">
      <alignment horizontal="center" vertical="center"/>
    </xf>
    <xf numFmtId="3" fontId="7" fillId="6" borderId="12" xfId="0" applyNumberFormat="1" applyFont="1" applyFill="1" applyBorder="1"/>
    <xf numFmtId="3" fontId="7" fillId="6" borderId="12" xfId="0" applyNumberFormat="1" applyFont="1" applyFill="1" applyBorder="1" applyAlignment="1">
      <alignment horizontal="left"/>
    </xf>
    <xf numFmtId="3" fontId="6" fillId="6" borderId="12" xfId="0" applyNumberFormat="1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3" fontId="11" fillId="0" borderId="0" xfId="0" applyNumberFormat="1" applyFont="1" applyAlignment="1">
      <alignment horizontal="center" vertical="center"/>
    </xf>
    <xf numFmtId="3" fontId="11" fillId="0" borderId="0" xfId="0" applyNumberFormat="1" applyFont="1" applyAlignment="1" applyProtection="1">
      <alignment horizontal="center" vertical="center"/>
      <protection locked="0"/>
    </xf>
    <xf numFmtId="0" fontId="6" fillId="0" borderId="8" xfId="0" applyFont="1" applyBorder="1"/>
    <xf numFmtId="0" fontId="6" fillId="0" borderId="9" xfId="0" applyFont="1" applyBorder="1" applyAlignment="1">
      <alignment horizontal="center" vertical="center"/>
    </xf>
    <xf numFmtId="3" fontId="6" fillId="0" borderId="9" xfId="0" applyNumberFormat="1" applyFont="1" applyBorder="1"/>
    <xf numFmtId="3" fontId="6" fillId="0" borderId="9" xfId="0" applyNumberFormat="1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164" fontId="3" fillId="0" borderId="0" xfId="1" applyNumberFormat="1" applyFont="1" applyAlignment="1">
      <alignment horizontal="center" vertical="center"/>
    </xf>
    <xf numFmtId="0" fontId="2" fillId="0" borderId="0" xfId="0" applyFont="1" applyAlignment="1">
      <alignment vertical="center"/>
    </xf>
    <xf numFmtId="164" fontId="7" fillId="3" borderId="1" xfId="1" applyNumberFormat="1" applyFont="1" applyFill="1" applyBorder="1" applyAlignment="1">
      <alignment horizontal="center" vertical="center"/>
    </xf>
    <xf numFmtId="164" fontId="7" fillId="2" borderId="1" xfId="1" applyNumberFormat="1" applyFont="1" applyFill="1" applyBorder="1" applyAlignment="1">
      <alignment horizontal="center" vertical="center"/>
    </xf>
    <xf numFmtId="164" fontId="7" fillId="11" borderId="1" xfId="1" applyNumberFormat="1" applyFont="1" applyFill="1" applyBorder="1" applyAlignment="1">
      <alignment horizontal="center" vertical="center"/>
    </xf>
    <xf numFmtId="164" fontId="7" fillId="0" borderId="1" xfId="1" applyNumberFormat="1" applyFont="1" applyBorder="1" applyAlignment="1" applyProtection="1">
      <alignment horizontal="center" vertical="center"/>
      <protection locked="0"/>
    </xf>
    <xf numFmtId="164" fontId="4" fillId="0" borderId="1" xfId="1" applyNumberFormat="1" applyFont="1" applyBorder="1" applyAlignment="1" applyProtection="1">
      <alignment horizontal="center" vertical="center"/>
      <protection locked="0"/>
    </xf>
    <xf numFmtId="164" fontId="15" fillId="8" borderId="1" xfId="1" applyNumberFormat="1" applyFont="1" applyFill="1" applyBorder="1" applyAlignment="1">
      <alignment horizontal="center" vertical="center"/>
    </xf>
    <xf numFmtId="164" fontId="14" fillId="0" borderId="9" xfId="2" applyNumberFormat="1" applyFont="1" applyFill="1" applyBorder="1" applyAlignment="1">
      <alignment horizontal="center" vertical="center"/>
    </xf>
    <xf numFmtId="164" fontId="7" fillId="12" borderId="1" xfId="1" applyNumberFormat="1" applyFont="1" applyFill="1" applyBorder="1" applyAlignment="1">
      <alignment horizontal="center" vertical="center"/>
    </xf>
    <xf numFmtId="164" fontId="7" fillId="3" borderId="1" xfId="1" applyNumberFormat="1" applyFont="1" applyFill="1" applyBorder="1" applyAlignment="1" applyProtection="1">
      <alignment horizontal="center" vertical="center"/>
    </xf>
    <xf numFmtId="164" fontId="4" fillId="0" borderId="0" xfId="1" applyNumberFormat="1" applyFont="1" applyAlignment="1">
      <alignment horizontal="center" vertical="center"/>
    </xf>
    <xf numFmtId="164" fontId="14" fillId="10" borderId="9" xfId="2" applyNumberFormat="1" applyFont="1" applyFill="1" applyBorder="1" applyAlignment="1">
      <alignment horizontal="center" vertical="center"/>
    </xf>
    <xf numFmtId="164" fontId="12" fillId="8" borderId="9" xfId="2" applyNumberFormat="1" applyFont="1" applyFill="1" applyBorder="1" applyAlignment="1">
      <alignment horizontal="center" vertical="center"/>
    </xf>
    <xf numFmtId="3" fontId="11" fillId="9" borderId="11" xfId="0" applyNumberFormat="1" applyFont="1" applyFill="1" applyBorder="1" applyAlignment="1">
      <alignment horizontal="center" vertical="center"/>
    </xf>
    <xf numFmtId="3" fontId="11" fillId="9" borderId="12" xfId="0" applyNumberFormat="1" applyFont="1" applyFill="1" applyBorder="1" applyAlignment="1">
      <alignment horizontal="center" vertical="center"/>
    </xf>
    <xf numFmtId="3" fontId="11" fillId="9" borderId="13" xfId="0" applyNumberFormat="1" applyFont="1" applyFill="1" applyBorder="1" applyAlignment="1">
      <alignment horizontal="center" vertical="center"/>
    </xf>
    <xf numFmtId="3" fontId="11" fillId="9" borderId="1" xfId="0" applyNumberFormat="1" applyFont="1" applyFill="1" applyBorder="1" applyAlignment="1">
      <alignment horizontal="center" vertical="center"/>
    </xf>
    <xf numFmtId="3" fontId="7" fillId="4" borderId="1" xfId="0" applyNumberFormat="1" applyFont="1" applyFill="1" applyBorder="1" applyAlignment="1">
      <alignment horizontal="center"/>
    </xf>
    <xf numFmtId="0" fontId="10" fillId="0" borderId="5" xfId="2" applyFont="1" applyFill="1" applyBorder="1" applyAlignment="1" applyProtection="1">
      <alignment horizontal="center" vertical="center"/>
    </xf>
    <xf numFmtId="0" fontId="10" fillId="0" borderId="0" xfId="2" applyFont="1" applyFill="1" applyBorder="1" applyAlignment="1" applyProtection="1">
      <alignment horizontal="center" vertical="center"/>
    </xf>
    <xf numFmtId="3" fontId="7" fillId="2" borderId="2" xfId="0" applyNumberFormat="1" applyFont="1" applyFill="1" applyBorder="1" applyAlignment="1">
      <alignment horizontal="center"/>
    </xf>
    <xf numFmtId="3" fontId="7" fillId="2" borderId="3" xfId="0" applyNumberFormat="1" applyFont="1" applyFill="1" applyBorder="1" applyAlignment="1">
      <alignment horizontal="center"/>
    </xf>
    <xf numFmtId="3" fontId="11" fillId="7" borderId="11" xfId="0" applyNumberFormat="1" applyFont="1" applyFill="1" applyBorder="1" applyAlignment="1">
      <alignment horizontal="center" vertical="center"/>
    </xf>
    <xf numFmtId="3" fontId="11" fillId="7" borderId="12" xfId="0" applyNumberFormat="1" applyFont="1" applyFill="1" applyBorder="1" applyAlignment="1">
      <alignment horizontal="center" vertical="center"/>
    </xf>
    <xf numFmtId="3" fontId="11" fillId="7" borderId="13" xfId="0" applyNumberFormat="1" applyFont="1" applyFill="1" applyBorder="1" applyAlignment="1">
      <alignment horizontal="center" vertical="center"/>
    </xf>
    <xf numFmtId="3" fontId="11" fillId="8" borderId="1" xfId="0" applyNumberFormat="1" applyFont="1" applyFill="1" applyBorder="1" applyAlignment="1" applyProtection="1">
      <alignment horizontal="center" vertical="center"/>
      <protection locked="0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376979</xdr:colOff>
      <xdr:row>0</xdr:row>
      <xdr:rowOff>64011</xdr:rowOff>
    </xdr:from>
    <xdr:to>
      <xdr:col>1</xdr:col>
      <xdr:colOff>885825</xdr:colOff>
      <xdr:row>1</xdr:row>
      <xdr:rowOff>352424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6B9F6CF-1F5D-46B9-8CC3-12C90E83D8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9795275" y="64011"/>
          <a:ext cx="937471" cy="66941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376979</xdr:colOff>
      <xdr:row>0</xdr:row>
      <xdr:rowOff>64011</xdr:rowOff>
    </xdr:from>
    <xdr:to>
      <xdr:col>1</xdr:col>
      <xdr:colOff>885825</xdr:colOff>
      <xdr:row>1</xdr:row>
      <xdr:rowOff>352424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2816351-36A0-B8FC-AD45-BF880451B0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9700025" y="64011"/>
          <a:ext cx="937471" cy="66941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952500</xdr:colOff>
      <xdr:row>2</xdr:row>
      <xdr:rowOff>76200</xdr:rowOff>
    </xdr:from>
    <xdr:to>
      <xdr:col>4</xdr:col>
      <xdr:colOff>640115</xdr:colOff>
      <xdr:row>5</xdr:row>
      <xdr:rowOff>133350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7DC17D8-B7A3-44F8-98F5-D5614BCCEC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11231401810" y="628650"/>
          <a:ext cx="640115" cy="638175"/>
        </a:xfrm>
        <a:prstGeom prst="rect">
          <a:avLst/>
        </a:prstGeom>
        <a:ln>
          <a:noFill/>
        </a:ln>
        <a:effectLst>
          <a:outerShdw blurRad="190500" algn="tl" rotWithShape="0">
            <a:srgbClr val="000000">
              <a:alpha val="70000"/>
            </a:srgbClr>
          </a:outerShdw>
        </a:effectLst>
      </xdr:spPr>
    </xdr:pic>
    <xdr:clientData/>
  </xdr:twoCellAnchor>
  <xdr:twoCellAnchor editAs="oneCell">
    <xdr:from>
      <xdr:col>6</xdr:col>
      <xdr:colOff>238125</xdr:colOff>
      <xdr:row>1</xdr:row>
      <xdr:rowOff>0</xdr:rowOff>
    </xdr:from>
    <xdr:to>
      <xdr:col>9</xdr:col>
      <xdr:colOff>276225</xdr:colOff>
      <xdr:row>2</xdr:row>
      <xdr:rowOff>57150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8566557-0FB3-45FA-8BE5-EE14F74EAD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28536725" y="276225"/>
          <a:ext cx="13620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942975</xdr:colOff>
      <xdr:row>11</xdr:row>
      <xdr:rowOff>38100</xdr:rowOff>
    </xdr:from>
    <xdr:to>
      <xdr:col>5</xdr:col>
      <xdr:colOff>609600</xdr:colOff>
      <xdr:row>11</xdr:row>
      <xdr:rowOff>275908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FBCBD61A-D88D-451F-A517-AB31981CF2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0498875" y="2828925"/>
          <a:ext cx="1552575" cy="2378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DriveD\Nikan_Docs\NikLine\NikLine_Content\Calc_SalaryTax_NikLine_Yearly_Person_1403.xlsx" TargetMode="External"/><Relationship Id="rId1" Type="http://schemas.openxmlformats.org/officeDocument/2006/relationships/externalLinkPath" Target="Calc_SalaryTax_NikLine_Yearly_Person_14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محاسبه ماليات ساليانه"/>
      <sheetName val="محاسبه ماليات ساليانه 1"/>
      <sheetName val="محاسبه ماليات ساليانه 2"/>
      <sheetName val="جدول مالیات"/>
    </sheetNames>
    <sheetDataSet>
      <sheetData sheetId="0"/>
      <sheetData sheetId="1"/>
      <sheetData sheetId="2"/>
      <sheetData sheetId="3">
        <row r="6">
          <cell r="F6">
            <v>120000000</v>
          </cell>
          <cell r="I6">
            <v>0</v>
          </cell>
        </row>
        <row r="7">
          <cell r="C7">
            <v>120000000</v>
          </cell>
          <cell r="I7">
            <v>4500000</v>
          </cell>
          <cell r="J7">
            <v>10</v>
          </cell>
        </row>
        <row r="8">
          <cell r="C8">
            <v>165000000</v>
          </cell>
          <cell r="I8">
            <v>20250000</v>
          </cell>
          <cell r="J8">
            <v>15</v>
          </cell>
        </row>
        <row r="9">
          <cell r="C9">
            <v>270000000</v>
          </cell>
          <cell r="I9">
            <v>46250000</v>
          </cell>
          <cell r="J9">
            <v>20</v>
          </cell>
        </row>
        <row r="10">
          <cell r="C10">
            <v>400000000</v>
          </cell>
          <cell r="J10">
            <v>30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nikline.ir/pages/item/5755" TargetMode="External"/><Relationship Id="rId1" Type="http://schemas.openxmlformats.org/officeDocument/2006/relationships/hyperlink" Target="https://nikline.ir/pages/CalculateSalaryTax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omments" Target="../comments2.xml"/><Relationship Id="rId3" Type="http://schemas.openxmlformats.org/officeDocument/2006/relationships/hyperlink" Target="https://nikline.ir/pages/item/5755" TargetMode="External"/><Relationship Id="rId7" Type="http://schemas.openxmlformats.org/officeDocument/2006/relationships/vmlDrawing" Target="../drawings/vmlDrawing2.vml"/><Relationship Id="rId2" Type="http://schemas.openxmlformats.org/officeDocument/2006/relationships/hyperlink" Target="https://nikline.ir/pages/item/5755" TargetMode="External"/><Relationship Id="rId1" Type="http://schemas.openxmlformats.org/officeDocument/2006/relationships/hyperlink" Target="https://nikline.ir/pages/CalculateSalaryTax" TargetMode="External"/><Relationship Id="rId6" Type="http://schemas.openxmlformats.org/officeDocument/2006/relationships/drawing" Target="../drawings/drawing2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nikline.ir/pages/item/5755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16AEEA-1F6A-4FB5-9368-3504035F1DD2}">
  <dimension ref="A1:I16"/>
  <sheetViews>
    <sheetView rightToLeft="1" tabSelected="1" workbookViewId="0">
      <selection activeCell="C6" sqref="C6"/>
    </sheetView>
  </sheetViews>
  <sheetFormatPr defaultColWidth="9" defaultRowHeight="18.75" x14ac:dyDescent="0.45"/>
  <cols>
    <col min="1" max="1" width="5.625" style="5" bestFit="1" customWidth="1"/>
    <col min="2" max="2" width="12.125" style="5" customWidth="1"/>
    <col min="3" max="3" width="17.125" style="42" customWidth="1"/>
    <col min="4" max="4" width="16.25" style="42" customWidth="1"/>
    <col min="5" max="5" width="17.375" style="42" customWidth="1"/>
    <col min="6" max="6" width="21.25" style="42" bestFit="1" customWidth="1"/>
    <col min="7" max="7" width="19.125" style="42" bestFit="1" customWidth="1"/>
    <col min="8" max="8" width="20" style="42" bestFit="1" customWidth="1"/>
    <col min="9" max="9" width="17.25" style="42" customWidth="1"/>
    <col min="10" max="16384" width="9" style="1"/>
  </cols>
  <sheetData>
    <row r="1" spans="1:9" ht="30" customHeight="1" x14ac:dyDescent="0.45">
      <c r="C1" s="53" t="s">
        <v>35</v>
      </c>
      <c r="D1" s="53"/>
      <c r="E1" s="53"/>
      <c r="F1" s="53"/>
      <c r="G1" s="53"/>
      <c r="H1" s="53"/>
      <c r="I1" s="53"/>
    </row>
    <row r="2" spans="1:9" s="43" customFormat="1" ht="40.5" customHeight="1" x14ac:dyDescent="0.2">
      <c r="A2" s="42"/>
      <c r="B2" s="42"/>
      <c r="C2" s="54" t="s">
        <v>33</v>
      </c>
      <c r="D2" s="54"/>
      <c r="E2" s="54"/>
      <c r="F2" s="54"/>
      <c r="G2" s="55" t="s">
        <v>34</v>
      </c>
      <c r="H2" s="55"/>
      <c r="I2" s="55"/>
    </row>
    <row r="3" spans="1:9" s="2" customFormat="1" ht="21" x14ac:dyDescent="0.2">
      <c r="A3" s="3" t="s">
        <v>32</v>
      </c>
      <c r="B3" s="3" t="s">
        <v>0</v>
      </c>
      <c r="C3" s="3" t="s">
        <v>43</v>
      </c>
      <c r="D3" s="3" t="s">
        <v>44</v>
      </c>
      <c r="E3" s="3" t="s">
        <v>15</v>
      </c>
      <c r="F3" s="3" t="s">
        <v>45</v>
      </c>
      <c r="G3" s="3" t="s">
        <v>2</v>
      </c>
      <c r="H3" s="3" t="s">
        <v>30</v>
      </c>
      <c r="I3" s="3" t="s">
        <v>31</v>
      </c>
    </row>
    <row r="4" spans="1:9" ht="24" x14ac:dyDescent="0.55000000000000004">
      <c r="A4" s="4">
        <v>1</v>
      </c>
      <c r="B4" s="4" t="s">
        <v>1</v>
      </c>
      <c r="C4" s="47">
        <v>275809215</v>
      </c>
      <c r="D4" s="47">
        <v>0</v>
      </c>
      <c r="E4" s="46">
        <f t="shared" ref="E4:E15" si="0">C4-D4</f>
        <v>275809215</v>
      </c>
      <c r="F4" s="47">
        <v>21411843</v>
      </c>
      <c r="G4" s="46">
        <f>IF(E4&gt;0,SUM(E$4:$E4),0)</f>
        <v>275809215</v>
      </c>
      <c r="H4" s="51">
        <f>IF(G4&lt;'[1]جدول مالیات'!$F$6*A4,0,
IF(G4&gt;'[1]جدول مالیات'!$C$10*A4,('[1]جدول مالیات'!$I$9*A4)+((G4-('[1]جدول مالیات'!$C$10*A4))*'[1]جدول مالیات'!$J$10/100),
IF(G4&gt;'[1]جدول مالیات'!$C$9*A4,('[1]جدول مالیات'!$I$8*A4)+((G4-('[1]جدول مالیات'!$C$9*A4))*'[1]جدول مالیات'!$J$9/100),
IF(G4&gt;'[1]جدول مالیات'!$C$8*A4,('[1]جدول مالیات'!$I$7*A4)+((G4-('[1]جدول مالیات'!$C$8*A4))*'[1]جدول مالیات'!$J$8/100),
IF(G4&gt;'[1]جدول مالیات'!$C$7*A4,('[1]جدول مالیات'!$I$6*A4)+((G4-('[1]جدول مالیات'!$C$7*A4))*'[1]جدول مالیات'!$J$7/100),
)))))</f>
        <v>21411843</v>
      </c>
      <c r="I4" s="44">
        <f>IF(H4&gt;0,IF(A4=1,H4,H4-H3),0)</f>
        <v>21411843</v>
      </c>
    </row>
    <row r="5" spans="1:9" ht="24" x14ac:dyDescent="0.55000000000000004">
      <c r="A5" s="4">
        <v>2</v>
      </c>
      <c r="B5" s="4" t="s">
        <v>3</v>
      </c>
      <c r="C5" s="47">
        <v>291857066</v>
      </c>
      <c r="D5" s="47">
        <v>21059995</v>
      </c>
      <c r="E5" s="46">
        <f t="shared" si="0"/>
        <v>270797071</v>
      </c>
      <c r="F5" s="47">
        <v>20409414</v>
      </c>
      <c r="G5" s="46">
        <f>IF(E5&gt;0,SUM(E$4:$E5),0)</f>
        <v>546606286</v>
      </c>
      <c r="H5" s="51">
        <f>IF(G5&lt;'[1]جدول مالیات'!$F$6*A5,0,
IF(G5&gt;'[1]جدول مالیات'!$C$10*A5,('[1]جدول مالیات'!$I$9*A5)+((G5-('[1]جدول مالیات'!$C$10*A5))*'[1]جدول مالیات'!$J$10/100),
IF(G5&gt;'[1]جدول مالیات'!$C$9*A5,('[1]جدول مالیات'!$I$8*A5)+((G5-('[1]جدول مالیات'!$C$9*A5))*'[1]جدول مالیات'!$J$9/100),
IF(G5&gt;'[1]جدول مالیات'!$C$8*A5,('[1]جدول مالیات'!$I$7*A5)+((G5-('[1]جدول مالیات'!$C$8*A5))*'[1]جدول مالیات'!$J$8/100),
IF(G5&gt;'[1]جدول مالیات'!$C$7*A5,('[1]جدول مالیات'!$I$6*A5)+((G5-('[1]جدول مالیات'!$C$7*A5))*'[1]جدول مالیات'!$J$7/100),
)))))</f>
        <v>41821257.200000003</v>
      </c>
      <c r="I5" s="44">
        <f t="shared" ref="I5:I15" si="1">IF(H5&gt;0,IF(A5=1,H5,H5-H4),0)</f>
        <v>20409414.200000003</v>
      </c>
    </row>
    <row r="6" spans="1:9" ht="24" x14ac:dyDescent="0.55000000000000004">
      <c r="A6" s="4">
        <v>3</v>
      </c>
      <c r="B6" s="4" t="s">
        <v>4</v>
      </c>
      <c r="C6" s="47">
        <v>300857066</v>
      </c>
      <c r="D6" s="47">
        <v>21059995</v>
      </c>
      <c r="E6" s="46">
        <f t="shared" si="0"/>
        <v>279797071</v>
      </c>
      <c r="F6" s="47">
        <v>3504277</v>
      </c>
      <c r="G6" s="46">
        <f>IF(E6&gt;0,SUM(E$4:$E6),0)</f>
        <v>826403357</v>
      </c>
      <c r="H6" s="51">
        <f>IF(G6&lt;'[1]جدول مالیات'!$F$6*A6,0,
IF(G6&gt;'[1]جدول مالیات'!$C$10*A6,('[1]جدول مالیات'!$I$9*A6)+((G6-('[1]جدول مالیات'!$C$10*A6))*'[1]جدول مالیات'!$J$10/100),
IF(G6&gt;'[1]جدول مالیات'!$C$9*A6,('[1]جدول مالیات'!$I$8*A6)+((G6-('[1]جدول مالیات'!$C$9*A6))*'[1]جدول مالیات'!$J$9/100),
IF(G6&gt;'[1]جدول مالیات'!$C$8*A6,('[1]جدول مالیات'!$I$7*A6)+((G6-('[1]جدول مالیات'!$C$8*A6))*'[1]جدول مالیات'!$J$8/100),
IF(G6&gt;'[1]جدول مالیات'!$C$7*A6,('[1]جدول مالیات'!$I$6*A6)+((G6-('[1]جدول مالیات'!$C$7*A6))*'[1]جدول مالیات'!$J$7/100),
)))))</f>
        <v>64030671.399999999</v>
      </c>
      <c r="I6" s="44">
        <f t="shared" si="1"/>
        <v>22209414.199999996</v>
      </c>
    </row>
    <row r="7" spans="1:9" ht="24" x14ac:dyDescent="0.55000000000000004">
      <c r="A7" s="4">
        <v>4</v>
      </c>
      <c r="B7" s="4" t="s">
        <v>5</v>
      </c>
      <c r="C7" s="47">
        <v>307276306</v>
      </c>
      <c r="D7" s="47">
        <v>21509334</v>
      </c>
      <c r="E7" s="46">
        <f>C7-D7</f>
        <v>285766972</v>
      </c>
      <c r="F7" s="47">
        <v>42865046</v>
      </c>
      <c r="G7" s="46">
        <f>IF(E7&gt;0,SUM(E$4:$E7),0)</f>
        <v>1112170329</v>
      </c>
      <c r="H7" s="51">
        <f>IF(G7&lt;'[1]جدول مالیات'!$F$6*A7,0,
IF(G7&gt;'[1]جدول مالیات'!$C$10*A7,('[1]جدول مالیات'!$I$9*A7)+((G7-('[1]جدول مالیات'!$C$10*A7))*'[1]جدول مالیات'!$J$10/100),
IF(G7&gt;'[1]جدول مالیات'!$C$9*A7,('[1]جدول مالیات'!$I$8*A7)+((G7-('[1]جدول مالیات'!$C$9*A7))*'[1]جدول مالیات'!$J$9/100),
IF(G7&gt;'[1]جدول مالیات'!$C$8*A7,('[1]جدول مالیات'!$I$7*A7)+((G7-('[1]جدول مالیات'!$C$8*A7))*'[1]جدول مالیات'!$J$8/100),
IF(G7&gt;'[1]جدول مالیات'!$C$7*A7,('[1]جدول مالیات'!$I$6*A7)+((G7-('[1]جدول مالیات'!$C$7*A7))*'[1]جدول مالیات'!$J$7/100),
)))))</f>
        <v>87434065.799999997</v>
      </c>
      <c r="I7" s="44">
        <f t="shared" si="1"/>
        <v>23403394.399999999</v>
      </c>
    </row>
    <row r="8" spans="1:9" ht="24" x14ac:dyDescent="0.55000000000000004">
      <c r="A8" s="4">
        <v>5</v>
      </c>
      <c r="B8" s="4" t="s">
        <v>6</v>
      </c>
      <c r="C8" s="47">
        <v>307276206</v>
      </c>
      <c r="D8" s="47">
        <v>21509334</v>
      </c>
      <c r="E8" s="46">
        <f t="shared" si="0"/>
        <v>285766872</v>
      </c>
      <c r="F8" s="47">
        <v>46050234</v>
      </c>
      <c r="G8" s="46">
        <f>IF(E8&gt;0,SUM(E$4:$E8),0)</f>
        <v>1397937201</v>
      </c>
      <c r="H8" s="51">
        <f>IF(G8&lt;'[1]جدول مالیات'!$F$6*A8,0,
IF(G8&gt;'[1]جدول مالیات'!$C$10*A8,('[1]جدول مالیات'!$I$9*A8)+((G8-('[1]جدول مالیات'!$C$10*A8))*'[1]جدول مالیات'!$J$10/100),
IF(G8&gt;'[1]جدول مالیات'!$C$9*A8,('[1]جدول مالیات'!$I$8*A8)+((G8-('[1]جدول مالیات'!$C$9*A8))*'[1]جدول مالیات'!$J$9/100),
IF(G8&gt;'[1]جدول مالیات'!$C$8*A8,('[1]جدول مالیات'!$I$7*A8)+((G8-('[1]جدول مالیات'!$C$8*A8))*'[1]جدول مالیات'!$J$8/100),
IF(G8&gt;'[1]جدول مالیات'!$C$7*A8,('[1]جدول مالیات'!$I$6*A8)+((G8-('[1]جدول مالیات'!$C$7*A8))*'[1]جدول مالیات'!$J$7/100),
)))))</f>
        <v>110837440.2</v>
      </c>
      <c r="I8" s="44">
        <f t="shared" si="1"/>
        <v>23403374.400000006</v>
      </c>
    </row>
    <row r="9" spans="1:9" ht="24" x14ac:dyDescent="0.55000000000000004">
      <c r="A9" s="4">
        <v>6</v>
      </c>
      <c r="B9" s="4" t="s">
        <v>7</v>
      </c>
      <c r="C9" s="47">
        <v>307276206</v>
      </c>
      <c r="D9" s="47">
        <v>21509334</v>
      </c>
      <c r="E9" s="46">
        <f t="shared" si="0"/>
        <v>285766872</v>
      </c>
      <c r="F9" s="47">
        <v>0</v>
      </c>
      <c r="G9" s="46">
        <f>IF(E9&gt;0,SUM(E$4:$E9),0)</f>
        <v>1683704073</v>
      </c>
      <c r="H9" s="51">
        <f>IF(G9&lt;'[1]جدول مالیات'!$F$6*A9,0,
IF(G9&gt;'[1]جدول مالیات'!$C$10*A9,('[1]جدول مالیات'!$I$9*A9)+((G9-('[1]جدول مالیات'!$C$10*A9))*'[1]جدول مالیات'!$J$10/100),
IF(G9&gt;'[1]جدول مالیات'!$C$9*A9,('[1]جدول مالیات'!$I$8*A9)+((G9-('[1]جدول مالیات'!$C$9*A9))*'[1]جدول مالیات'!$J$9/100),
IF(G9&gt;'[1]جدول مالیات'!$C$8*A9,('[1]جدول مالیات'!$I$7*A9)+((G9-('[1]جدول مالیات'!$C$8*A9))*'[1]جدول مالیات'!$J$8/100),
IF(G9&gt;'[1]جدول مالیات'!$C$7*A9,('[1]جدول مالیات'!$I$6*A9)+((G9-('[1]جدول مالیات'!$C$7*A9))*'[1]جدول مالیات'!$J$7/100),
)))))</f>
        <v>134240814.59999999</v>
      </c>
      <c r="I9" s="44">
        <f t="shared" si="1"/>
        <v>23403374.399999991</v>
      </c>
    </row>
    <row r="10" spans="1:9" ht="24" x14ac:dyDescent="0.55000000000000004">
      <c r="A10" s="4">
        <v>7</v>
      </c>
      <c r="B10" s="4" t="s">
        <v>8</v>
      </c>
      <c r="C10" s="48"/>
      <c r="D10" s="48"/>
      <c r="E10" s="46">
        <f t="shared" si="0"/>
        <v>0</v>
      </c>
      <c r="F10" s="48"/>
      <c r="G10" s="46">
        <f>IF(E10&gt;0,SUM(E$4:$E10),0)</f>
        <v>0</v>
      </c>
      <c r="H10" s="51">
        <f>IF(G10&lt;'[1]جدول مالیات'!$F$6*A10,0,
IF(G10&gt;'[1]جدول مالیات'!$C$10*A10,('[1]جدول مالیات'!$I$9*A10)+((G10-('[1]جدول مالیات'!$C$10*A10))*'[1]جدول مالیات'!$J$10/100),
IF(G10&gt;'[1]جدول مالیات'!$C$9*A10,('[1]جدول مالیات'!$I$8*A10)+((G10-('[1]جدول مالیات'!$C$9*A10))*'[1]جدول مالیات'!$J$9/100),
IF(G10&gt;'[1]جدول مالیات'!$C$8*A10,('[1]جدول مالیات'!$I$7*A10)+((G10-('[1]جدول مالیات'!$C$8*A10))*'[1]جدول مالیات'!$J$8/100),
IF(G10&gt;'[1]جدول مالیات'!$C$7*A10,('[1]جدول مالیات'!$I$6*A10)+((G10-('[1]جدول مالیات'!$C$7*A10))*'[1]جدول مالیات'!$J$7/100),
)))))</f>
        <v>0</v>
      </c>
      <c r="I10" s="44">
        <f>IF(H10&gt;0,IF(A10=1,H10,H10-H9),0)</f>
        <v>0</v>
      </c>
    </row>
    <row r="11" spans="1:9" ht="24" x14ac:dyDescent="0.55000000000000004">
      <c r="A11" s="4">
        <v>8</v>
      </c>
      <c r="B11" s="4" t="s">
        <v>9</v>
      </c>
      <c r="C11" s="48"/>
      <c r="D11" s="48"/>
      <c r="E11" s="46">
        <f t="shared" si="0"/>
        <v>0</v>
      </c>
      <c r="F11" s="48"/>
      <c r="G11" s="46">
        <f>IF(E11&gt;0,SUM(E$4:$E11),0)</f>
        <v>0</v>
      </c>
      <c r="H11" s="51">
        <f>IF(G11&lt;'[1]جدول مالیات'!$F$6*A11,0,
IF(G11&gt;'[1]جدول مالیات'!$C$10*A11,('[1]جدول مالیات'!$I$9*A11)+((G11-('[1]جدول مالیات'!$C$10*A11))*'[1]جدول مالیات'!$J$10/100),
IF(G11&gt;'[1]جدول مالیات'!$C$9*A11,('[1]جدول مالیات'!$I$8*A11)+((G11-('[1]جدول مالیات'!$C$9*A11))*'[1]جدول مالیات'!$J$9/100),
IF(G11&gt;'[1]جدول مالیات'!$C$8*A11,('[1]جدول مالیات'!$I$7*A11)+((G11-('[1]جدول مالیات'!$C$8*A11))*'[1]جدول مالیات'!$J$8/100),
IF(G11&gt;'[1]جدول مالیات'!$C$7*A11,('[1]جدول مالیات'!$I$6*A11)+((G11-('[1]جدول مالیات'!$C$7*A11))*'[1]جدول مالیات'!$J$7/100),
)))))</f>
        <v>0</v>
      </c>
      <c r="I11" s="44">
        <f t="shared" si="1"/>
        <v>0</v>
      </c>
    </row>
    <row r="12" spans="1:9" ht="24" x14ac:dyDescent="0.55000000000000004">
      <c r="A12" s="4">
        <v>9</v>
      </c>
      <c r="B12" s="4" t="s">
        <v>10</v>
      </c>
      <c r="C12" s="48"/>
      <c r="D12" s="48"/>
      <c r="E12" s="46">
        <f t="shared" si="0"/>
        <v>0</v>
      </c>
      <c r="F12" s="48"/>
      <c r="G12" s="46">
        <f>IF(E12&gt;0,SUM(E$4:$E12),0)</f>
        <v>0</v>
      </c>
      <c r="H12" s="51">
        <f>IF(G12&lt;'[1]جدول مالیات'!$F$6*A12,0,
IF(G12&gt;'[1]جدول مالیات'!$C$10*A12,('[1]جدول مالیات'!$I$9*A12)+((G12-('[1]جدول مالیات'!$C$10*A12))*'[1]جدول مالیات'!$J$10/100),
IF(G12&gt;'[1]جدول مالیات'!$C$9*A12,('[1]جدول مالیات'!$I$8*A12)+((G12-('[1]جدول مالیات'!$C$9*A12))*'[1]جدول مالیات'!$J$9/100),
IF(G12&gt;'[1]جدول مالیات'!$C$8*A12,('[1]جدول مالیات'!$I$7*A12)+((G12-('[1]جدول مالیات'!$C$8*A12))*'[1]جدول مالیات'!$J$8/100),
IF(G12&gt;'[1]جدول مالیات'!$C$7*A12,('[1]جدول مالیات'!$I$6*A12)+((G12-('[1]جدول مالیات'!$C$7*A12))*'[1]جدول مالیات'!$J$7/100),
)))))</f>
        <v>0</v>
      </c>
      <c r="I12" s="44">
        <f t="shared" si="1"/>
        <v>0</v>
      </c>
    </row>
    <row r="13" spans="1:9" ht="24" x14ac:dyDescent="0.55000000000000004">
      <c r="A13" s="4">
        <v>10</v>
      </c>
      <c r="B13" s="4" t="s">
        <v>11</v>
      </c>
      <c r="C13" s="48"/>
      <c r="D13" s="48"/>
      <c r="E13" s="46">
        <f t="shared" si="0"/>
        <v>0</v>
      </c>
      <c r="F13" s="48"/>
      <c r="G13" s="46">
        <f>IF(E13&gt;0,SUM(E$4:$E13),0)</f>
        <v>0</v>
      </c>
      <c r="H13" s="51">
        <f>IF(G13&lt;'[1]جدول مالیات'!$F$6*A13,0,
IF(G13&gt;'[1]جدول مالیات'!$C$10*A13,('[1]جدول مالیات'!$I$9*A13)+((G13-('[1]جدول مالیات'!$C$10*A13))*'[1]جدول مالیات'!$J$10/100),
IF(G13&gt;'[1]جدول مالیات'!$C$9*A13,('[1]جدول مالیات'!$I$8*A13)+((G13-('[1]جدول مالیات'!$C$9*A13))*'[1]جدول مالیات'!$J$9/100),
IF(G13&gt;'[1]جدول مالیات'!$C$8*A13,('[1]جدول مالیات'!$I$7*A13)+((G13-('[1]جدول مالیات'!$C$8*A13))*'[1]جدول مالیات'!$J$8/100),
IF(G13&gt;'[1]جدول مالیات'!$C$7*A13,('[1]جدول مالیات'!$I$6*A13)+((G13-('[1]جدول مالیات'!$C$7*A13))*'[1]جدول مالیات'!$J$7/100),
)))))</f>
        <v>0</v>
      </c>
      <c r="I13" s="44">
        <f t="shared" si="1"/>
        <v>0</v>
      </c>
    </row>
    <row r="14" spans="1:9" ht="24" x14ac:dyDescent="0.55000000000000004">
      <c r="A14" s="4">
        <v>11</v>
      </c>
      <c r="B14" s="4" t="s">
        <v>12</v>
      </c>
      <c r="C14" s="48"/>
      <c r="D14" s="48"/>
      <c r="E14" s="46">
        <f t="shared" si="0"/>
        <v>0</v>
      </c>
      <c r="F14" s="48"/>
      <c r="G14" s="46">
        <f>IF(E14&gt;0,SUM(E$4:$E14),0)</f>
        <v>0</v>
      </c>
      <c r="H14" s="51">
        <f>IF(G14&lt;'[1]جدول مالیات'!$F$6*A14,0,
IF(G14&gt;'[1]جدول مالیات'!$C$10*A14,('[1]جدول مالیات'!$I$9*A14)+((G14-('[1]جدول مالیات'!$C$10*A14))*'[1]جدول مالیات'!$J$10/100),
IF(G14&gt;'[1]جدول مالیات'!$C$9*A14,('[1]جدول مالیات'!$I$8*A14)+((G14-('[1]جدول مالیات'!$C$9*A14))*'[1]جدول مالیات'!$J$9/100),
IF(G14&gt;'[1]جدول مالیات'!$C$8*A14,('[1]جدول مالیات'!$I$7*A14)+((G14-('[1]جدول مالیات'!$C$8*A14))*'[1]جدول مالیات'!$J$8/100),
IF(G14&gt;'[1]جدول مالیات'!$C$7*A14,('[1]جدول مالیات'!$I$6*A14)+((G14-('[1]جدول مالیات'!$C$7*A14))*'[1]جدول مالیات'!$J$7/100),
)))))</f>
        <v>0</v>
      </c>
      <c r="I14" s="44">
        <f t="shared" si="1"/>
        <v>0</v>
      </c>
    </row>
    <row r="15" spans="1:9" ht="24" x14ac:dyDescent="0.55000000000000004">
      <c r="A15" s="4">
        <v>12</v>
      </c>
      <c r="B15" s="4" t="s">
        <v>13</v>
      </c>
      <c r="C15" s="48"/>
      <c r="D15" s="48"/>
      <c r="E15" s="46">
        <f t="shared" si="0"/>
        <v>0</v>
      </c>
      <c r="F15" s="48"/>
      <c r="G15" s="46">
        <f>IF(E15&gt;0,SUM(E$4:$E15),0)</f>
        <v>0</v>
      </c>
      <c r="H15" s="51">
        <f>IF(G15&lt;'[1]جدول مالیات'!$F$6*A15,0,
IF(G15&gt;'[1]جدول مالیات'!$C$10*A15,('[1]جدول مالیات'!$I$9*A15)+((G15-('[1]جدول مالیات'!$C$10*A15))*'[1]جدول مالیات'!$J$10/100),
IF(G15&gt;'[1]جدول مالیات'!$C$9*A15,('[1]جدول مالیات'!$I$8*A15)+((G15-('[1]جدول مالیات'!$C$9*A15))*'[1]جدول مالیات'!$J$9/100),
IF(G15&gt;'[1]جدول مالیات'!$C$8*A15,('[1]جدول مالیات'!$I$7*A15)+((G15-('[1]جدول مالیات'!$C$8*A15))*'[1]جدول مالیات'!$J$8/100),
IF(G15&gt;'[1]جدول مالیات'!$C$7*A15,('[1]جدول مالیات'!$I$6*A15)+((G15-('[1]جدول مالیات'!$C$7*A15))*'[1]جدول مالیات'!$J$7/100),
)))))</f>
        <v>0</v>
      </c>
      <c r="I15" s="44">
        <f t="shared" si="1"/>
        <v>0</v>
      </c>
    </row>
    <row r="16" spans="1:9" ht="26.25" x14ac:dyDescent="0.55000000000000004">
      <c r="A16" s="4"/>
      <c r="B16" s="4" t="s">
        <v>14</v>
      </c>
      <c r="C16" s="45">
        <f>SUM(C4:C15)</f>
        <v>1790352065</v>
      </c>
      <c r="D16" s="45">
        <f t="shared" ref="D16:F16" si="2">SUM(D4:D15)</f>
        <v>106647992</v>
      </c>
      <c r="E16" s="45">
        <f t="shared" si="2"/>
        <v>1683704073</v>
      </c>
      <c r="F16" s="49">
        <f t="shared" si="2"/>
        <v>134240814</v>
      </c>
      <c r="G16" s="45">
        <f>SUM(G4:G15)</f>
        <v>5842630461</v>
      </c>
      <c r="H16" s="45"/>
      <c r="I16" s="49">
        <f>SUM(I4:I15)</f>
        <v>134240814.59999999</v>
      </c>
    </row>
  </sheetData>
  <sheetProtection algorithmName="SHA-512" hashValue="UTxYsVJd9OBKJr7i9NSrG/T5K2Q4aRh44CorJesCkXYyHNMM3x6EUjSRL2bdd2L5Ni8d0L62Q/16NLJ5hPyqEw==" saltValue="5wiDbhMpEfEX1DFbqUXowQ==" spinCount="100000" sheet="1" objects="1" scenarios="1" formatCells="0" formatColumns="0" formatRows="0" sort="0" autoFilter="0" pivotTables="0"/>
  <mergeCells count="3">
    <mergeCell ref="C1:I1"/>
    <mergeCell ref="C2:F2"/>
    <mergeCell ref="G2:I2"/>
  </mergeCells>
  <hyperlinks>
    <hyperlink ref="G2:I2" r:id="rId1" display="محاسبات به روش سالانه ( سايت نيك لاين)" xr:uid="{2516D99B-78A6-4CC7-9829-EBFD7FFD6BD9}"/>
    <hyperlink ref="C2:F2" r:id="rId2" display="لينك آموزش نحوه ثبت صحيح اطلاعات در جدول ماليات حقوق 1403" xr:uid="{527E16EE-2E24-4E25-98DF-E47460003CB5}"/>
  </hyperlinks>
  <pageMargins left="0.7" right="0.7" top="0.75" bottom="0.75" header="0.3" footer="0.3"/>
  <drawing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059BFD-4B90-4F63-894E-6AB99B9A91CF}">
  <dimension ref="A1:M16"/>
  <sheetViews>
    <sheetView rightToLeft="1" zoomScaleNormal="10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C16" sqref="C16"/>
    </sheetView>
  </sheetViews>
  <sheetFormatPr defaultColWidth="9" defaultRowHeight="18.75" x14ac:dyDescent="0.45"/>
  <cols>
    <col min="1" max="1" width="5.625" style="5" bestFit="1" customWidth="1"/>
    <col min="2" max="2" width="12.125" style="5" customWidth="1"/>
    <col min="3" max="3" width="16.5" style="42" bestFit="1" customWidth="1"/>
    <col min="4" max="4" width="15.25" style="42" customWidth="1"/>
    <col min="5" max="5" width="14" style="42" bestFit="1" customWidth="1"/>
    <col min="6" max="6" width="14.25" style="42" customWidth="1"/>
    <col min="7" max="7" width="17.375" style="42" customWidth="1"/>
    <col min="8" max="8" width="18.75" style="42" customWidth="1"/>
    <col min="9" max="9" width="18.125" style="42" customWidth="1"/>
    <col min="10" max="10" width="20.25" style="42" bestFit="1" customWidth="1"/>
    <col min="11" max="11" width="19.125" style="42" bestFit="1" customWidth="1"/>
    <col min="12" max="12" width="20" style="42" bestFit="1" customWidth="1"/>
    <col min="13" max="13" width="17.25" style="42" customWidth="1"/>
    <col min="14" max="16384" width="9" style="1"/>
  </cols>
  <sheetData>
    <row r="1" spans="1:13" ht="30" customHeight="1" x14ac:dyDescent="0.45">
      <c r="C1" s="53" t="s">
        <v>35</v>
      </c>
      <c r="D1" s="53"/>
      <c r="E1" s="53"/>
      <c r="F1" s="53"/>
      <c r="G1" s="53"/>
      <c r="H1" s="53"/>
      <c r="I1" s="53"/>
      <c r="J1" s="53"/>
      <c r="K1" s="53"/>
      <c r="L1" s="53"/>
      <c r="M1" s="53"/>
    </row>
    <row r="2" spans="1:13" s="43" customFormat="1" ht="40.5" customHeight="1" x14ac:dyDescent="0.2">
      <c r="A2" s="42"/>
      <c r="B2" s="42"/>
      <c r="C2" s="54" t="s">
        <v>33</v>
      </c>
      <c r="D2" s="54"/>
      <c r="E2" s="54"/>
      <c r="F2" s="54"/>
      <c r="G2" s="54"/>
      <c r="H2" s="54"/>
      <c r="I2" s="54"/>
      <c r="J2" s="50"/>
      <c r="K2" s="55" t="s">
        <v>34</v>
      </c>
      <c r="L2" s="55"/>
      <c r="M2" s="55"/>
    </row>
    <row r="3" spans="1:13" s="2" customFormat="1" ht="21" x14ac:dyDescent="0.2">
      <c r="A3" s="3" t="s">
        <v>32</v>
      </c>
      <c r="B3" s="3" t="s">
        <v>0</v>
      </c>
      <c r="C3" s="3" t="s">
        <v>36</v>
      </c>
      <c r="D3" s="3" t="s">
        <v>37</v>
      </c>
      <c r="E3" s="3" t="s">
        <v>38</v>
      </c>
      <c r="F3" s="3" t="s">
        <v>39</v>
      </c>
      <c r="G3" s="3" t="s">
        <v>15</v>
      </c>
      <c r="H3" s="3" t="s">
        <v>40</v>
      </c>
      <c r="I3" s="3" t="s">
        <v>41</v>
      </c>
      <c r="J3" s="3" t="s">
        <v>42</v>
      </c>
      <c r="K3" s="3" t="s">
        <v>2</v>
      </c>
      <c r="L3" s="3" t="s">
        <v>30</v>
      </c>
      <c r="M3" s="3" t="s">
        <v>31</v>
      </c>
    </row>
    <row r="4" spans="1:13" ht="24" x14ac:dyDescent="0.55000000000000004">
      <c r="A4" s="4">
        <v>1</v>
      </c>
      <c r="B4" s="4" t="s">
        <v>1</v>
      </c>
      <c r="C4" s="47">
        <f>148724496+2085658+1461796</f>
        <v>152271950</v>
      </c>
      <c r="D4" s="47">
        <f>157897148+24716308</f>
        <v>182613456</v>
      </c>
      <c r="E4" s="47">
        <f>9553445+1461796</f>
        <v>11015241</v>
      </c>
      <c r="F4" s="47">
        <f>12666318</f>
        <v>12666318</v>
      </c>
      <c r="G4" s="46">
        <f>C4+D4-E4-F4</f>
        <v>311203847</v>
      </c>
      <c r="H4" s="47">
        <v>2125671</v>
      </c>
      <c r="I4" s="47">
        <v>26365098</v>
      </c>
      <c r="J4" s="52">
        <f>H4+I4</f>
        <v>28490769</v>
      </c>
      <c r="K4" s="46">
        <f>IF(G4&gt;0,SUM($G$4:G4),0)</f>
        <v>311203847</v>
      </c>
      <c r="L4" s="51">
        <f>IF(K4&lt;'جدول مالیات'!$F$6*A4,0,
IF(K4&gt;'جدول مالیات'!$C$10*A4,('جدول مالیات'!$I$9*A4)+((K4-('جدول مالیات'!$C$10*A4))*'جدول مالیات'!$J$10/100),
IF(K4&gt;'جدول مالیات'!$C$9*A4,('جدول مالیات'!$I$8*A4)+((K4-('جدول مالیات'!$C$9*A4))*'جدول مالیات'!$J$9/100),
IF(K4&gt;'جدول مالیات'!$C$8*A4,('جدول مالیات'!$I$7*A4)+((K4-('جدول مالیات'!$C$8*A4))*'جدول مالیات'!$J$8/100),
IF(K4&gt;'جدول مالیات'!$C$7*A4,('جدول مالیات'!$I$6*A4)+((K4-('جدول مالیات'!$C$7*A4))*'جدول مالیات'!$J$7/100),
)))))</f>
        <v>28490769.399999999</v>
      </c>
      <c r="M4" s="44">
        <f>IF(L4&gt;0,IF(A4=1,L4,L4-L3),0)</f>
        <v>28490769.399999999</v>
      </c>
    </row>
    <row r="5" spans="1:13" ht="24" x14ac:dyDescent="0.55000000000000004">
      <c r="A5" s="4">
        <v>2</v>
      </c>
      <c r="B5" s="4" t="s">
        <v>3</v>
      </c>
      <c r="C5" s="47">
        <f>148724496+3000000+1089702+1499066</f>
        <v>154313264</v>
      </c>
      <c r="D5" s="47">
        <f>155575098+57888447</f>
        <v>213463545</v>
      </c>
      <c r="E5" s="47">
        <f>1089702+9722384</f>
        <v>10812086</v>
      </c>
      <c r="F5" s="47">
        <f>14988368</f>
        <v>14988368</v>
      </c>
      <c r="G5" s="46">
        <f t="shared" ref="G5:G15" si="0">C5+D5-E5-F5</f>
        <v>341976355</v>
      </c>
      <c r="H5" s="47">
        <v>0</v>
      </c>
      <c r="I5" s="47">
        <v>34645271</v>
      </c>
      <c r="J5" s="52">
        <f t="shared" ref="J5:J15" si="1">H5+I5</f>
        <v>34645271</v>
      </c>
      <c r="K5" s="46">
        <f>IF(G5&gt;0,SUM($G$4:G5),0)</f>
        <v>653180202</v>
      </c>
      <c r="L5" s="51">
        <f>IF(K5&lt;'جدول مالیات'!$F$6*A5,0,
IF(K5&gt;'جدول مالیات'!$C$10*A5,('جدول مالیات'!$I$9*A5)+((K5-('جدول مالیات'!$C$10*A5))*'جدول مالیات'!$J$10/100),
IF(K5&gt;'جدول مالیات'!$C$9*A5,('جدول مالیات'!$I$8*A5)+((K5-('جدول مالیات'!$C$9*A5))*'جدول مالیات'!$J$9/100),
IF(K5&gt;'جدول مالیات'!$C$8*A5,('جدول مالیات'!$I$7*A5)+((K5-('جدول مالیات'!$C$8*A5))*'جدول مالیات'!$J$8/100),
IF(K5&gt;'جدول مالیات'!$C$7*A5,('جدول مالیات'!$I$6*A5)+((K5-('جدول مالیات'!$C$7*A5))*'جدول مالیات'!$J$7/100),
)))))</f>
        <v>63136040.399999999</v>
      </c>
      <c r="M5" s="44">
        <f t="shared" ref="M5:M15" si="2">IF(L5&gt;0,IF(A5=1,L5,L5-L4),0)</f>
        <v>34645271</v>
      </c>
    </row>
    <row r="6" spans="1:13" ht="24" x14ac:dyDescent="0.55000000000000004">
      <c r="A6" s="4">
        <v>3</v>
      </c>
      <c r="B6" s="4" t="s">
        <v>4</v>
      </c>
      <c r="C6" s="47">
        <f>148724496+1890127</f>
        <v>150614623</v>
      </c>
      <c r="D6" s="47">
        <f>156046283+51157232</f>
        <v>207203515</v>
      </c>
      <c r="E6" s="47">
        <f>9539758</f>
        <v>9539758</v>
      </c>
      <c r="F6" s="47">
        <f>14517183</f>
        <v>14517183</v>
      </c>
      <c r="G6" s="46">
        <f t="shared" si="0"/>
        <v>333761197</v>
      </c>
      <c r="H6" s="47">
        <v>30008300</v>
      </c>
      <c r="I6" s="47">
        <v>2993940</v>
      </c>
      <c r="J6" s="52">
        <f t="shared" si="1"/>
        <v>33002240</v>
      </c>
      <c r="K6" s="46">
        <f>IF(G6&gt;0,SUM($G$4:G6),0)</f>
        <v>986941399</v>
      </c>
      <c r="L6" s="51">
        <f>IF(K6&lt;'جدول مالیات'!$F$6*A6,0,
IF(K6&gt;'جدول مالیات'!$C$10*A6,('جدول مالیات'!$I$9*A6)+((K6-('جدول مالیات'!$C$10*A6))*'جدول مالیات'!$J$10/100),
IF(K6&gt;'جدول مالیات'!$C$9*A6,('جدول مالیات'!$I$8*A6)+((K6-('جدول مالیات'!$C$9*A6))*'جدول مالیات'!$J$9/100),
IF(K6&gt;'جدول مالیات'!$C$8*A6,('جدول مالیات'!$I$7*A6)+((K6-('جدول مالیات'!$C$8*A6))*'جدول مالیات'!$J$8/100),
IF(K6&gt;'جدول مالیات'!$C$7*A6,('جدول مالیات'!$I$6*A6)+((K6-('جدول مالیات'!$C$7*A6))*'جدول مالیات'!$J$7/100),
)))))</f>
        <v>96138279.799999997</v>
      </c>
      <c r="M6" s="44">
        <f t="shared" si="2"/>
        <v>33002239.399999999</v>
      </c>
    </row>
    <row r="7" spans="1:13" ht="24" x14ac:dyDescent="0.55000000000000004">
      <c r="A7" s="4">
        <v>4</v>
      </c>
      <c r="B7" s="4" t="s">
        <v>5</v>
      </c>
      <c r="C7" s="47">
        <f>148724496+1270948</f>
        <v>149995444</v>
      </c>
      <c r="D7" s="47">
        <f>154679846+70677755</f>
        <v>225357601</v>
      </c>
      <c r="E7" s="47">
        <f>9496415</f>
        <v>9496415</v>
      </c>
      <c r="F7" s="47">
        <f>15883620</f>
        <v>15883620</v>
      </c>
      <c r="G7" s="46">
        <f t="shared" si="0"/>
        <v>349973010</v>
      </c>
      <c r="H7" s="47">
        <v>33920575</v>
      </c>
      <c r="I7" s="47">
        <v>2324027</v>
      </c>
      <c r="J7" s="52">
        <f t="shared" si="1"/>
        <v>36244602</v>
      </c>
      <c r="K7" s="46">
        <f>IF(G7&gt;0,SUM($G$4:G7),0)</f>
        <v>1336914409</v>
      </c>
      <c r="L7" s="51">
        <f>IF(K7&lt;'جدول مالیات'!$F$6*A7,0,
IF(K7&gt;'جدول مالیات'!$C$10*A7,('جدول مالیات'!$I$9*A7)+((K7-('جدول مالیات'!$C$10*A7))*'جدول مالیات'!$J$10/100),
IF(K7&gt;'جدول مالیات'!$C$9*A7,('جدول مالیات'!$I$8*A7)+((K7-('جدول مالیات'!$C$9*A7))*'جدول مالیات'!$J$9/100),
IF(K7&gt;'جدول مالیات'!$C$8*A7,('جدول مالیات'!$I$7*A7)+((K7-('جدول مالیات'!$C$8*A7))*'جدول مالیات'!$J$8/100),
IF(K7&gt;'جدول مالیات'!$C$7*A7,('جدول مالیات'!$I$6*A7)+((K7-('جدول مالیات'!$C$7*A7))*'جدول مالیات'!$J$7/100),
)))))</f>
        <v>132382881.8</v>
      </c>
      <c r="M7" s="44">
        <f t="shared" si="2"/>
        <v>36244602</v>
      </c>
    </row>
    <row r="8" spans="1:13" ht="24" x14ac:dyDescent="0.55000000000000004">
      <c r="A8" s="4">
        <v>5</v>
      </c>
      <c r="B8" s="4" t="s">
        <v>6</v>
      </c>
      <c r="C8" s="47">
        <f>148724496+1089702+1238359</f>
        <v>151052557</v>
      </c>
      <c r="D8" s="47">
        <f>156423231+45772260</f>
        <v>202195491</v>
      </c>
      <c r="E8" s="47">
        <f>9494134+1089702</f>
        <v>10583836</v>
      </c>
      <c r="F8" s="47">
        <f>14140235</f>
        <v>14140235</v>
      </c>
      <c r="G8" s="46">
        <f t="shared" si="0"/>
        <v>328523977</v>
      </c>
      <c r="H8" s="47">
        <v>0</v>
      </c>
      <c r="I8" s="47">
        <v>31954795</v>
      </c>
      <c r="J8" s="52">
        <f>H8+I8</f>
        <v>31954795</v>
      </c>
      <c r="K8" s="46">
        <f>IF(G8&gt;0,SUM($G$4:G8),0)</f>
        <v>1665438386</v>
      </c>
      <c r="L8" s="51">
        <f>IF(K8&lt;'جدول مالیات'!$F$6*A8,0,
IF(K8&gt;'جدول مالیات'!$C$10*A8,('جدول مالیات'!$I$9*A8)+((K8-('جدول مالیات'!$C$10*A8))*'جدول مالیات'!$J$10/100),
IF(K8&gt;'جدول مالیات'!$C$9*A8,('جدول مالیات'!$I$8*A8)+((K8-('جدول مالیات'!$C$9*A8))*'جدول مالیات'!$J$9/100),
IF(K8&gt;'جدول مالیات'!$C$8*A8,('جدول مالیات'!$I$7*A8)+((K8-('جدول مالیات'!$C$8*A8))*'جدول مالیات'!$J$8/100),
IF(K8&gt;'جدول مالیات'!$C$7*A8,('جدول مالیات'!$I$6*A8)+((K8-('جدول مالیات'!$C$7*A8))*'جدول مالیات'!$J$7/100),
)))))</f>
        <v>164337677.19999999</v>
      </c>
      <c r="M8" s="44">
        <f t="shared" si="2"/>
        <v>31954795.399999991</v>
      </c>
    </row>
    <row r="9" spans="1:13" ht="24" x14ac:dyDescent="0.55000000000000004">
      <c r="A9" s="4">
        <v>6</v>
      </c>
      <c r="B9" s="4" t="s">
        <v>7</v>
      </c>
      <c r="C9" s="47">
        <f>148724496+372093+651768</f>
        <v>149748357</v>
      </c>
      <c r="D9" s="47">
        <f>162873952+28619106</f>
        <v>191493058</v>
      </c>
      <c r="E9" s="47">
        <f>9453073+372093</f>
        <v>9825166</v>
      </c>
      <c r="F9" s="47">
        <f>12939514</f>
        <v>12939514</v>
      </c>
      <c r="G9" s="46">
        <f t="shared" si="0"/>
        <v>318476735</v>
      </c>
      <c r="H9" s="47">
        <v>0</v>
      </c>
      <c r="I9" s="47">
        <v>29945347</v>
      </c>
      <c r="J9" s="52">
        <f>H9+I9</f>
        <v>29945347</v>
      </c>
      <c r="K9" s="46">
        <f>IF(G9&gt;0,SUM($G$4:G9),0)</f>
        <v>1983915121</v>
      </c>
      <c r="L9" s="51">
        <f>IF(K9&lt;'جدول مالیات'!$F$6*A9,0,
IF(K9&gt;'جدول مالیات'!$C$10*A9,('جدول مالیات'!$I$9*A9)+((K9-('جدول مالیات'!$C$10*A9))*'جدول مالیات'!$J$10/100),
IF(K9&gt;'جدول مالیات'!$C$9*A9,('جدول مالیات'!$I$8*A9)+((K9-('جدول مالیات'!$C$9*A9))*'جدول مالیات'!$J$9/100),
IF(K9&gt;'جدول مالیات'!$C$8*A9,('جدول مالیات'!$I$7*A9)+((K9-('جدول مالیات'!$C$8*A9))*'جدول مالیات'!$J$8/100),
IF(K9&gt;'جدول مالیات'!$C$7*A9,('جدول مالیات'!$I$6*A9)+((K9-('جدول مالیات'!$C$7*A9))*'جدول مالیات'!$J$7/100),
)))))</f>
        <v>194283024.19999999</v>
      </c>
      <c r="M9" s="44">
        <f t="shared" si="2"/>
        <v>29945347</v>
      </c>
    </row>
    <row r="10" spans="1:13" ht="24" x14ac:dyDescent="0.55000000000000004">
      <c r="A10" s="4">
        <v>7</v>
      </c>
      <c r="B10" s="4" t="s">
        <v>8</v>
      </c>
      <c r="C10" s="47">
        <f>146066685+1075417</f>
        <v>147142102</v>
      </c>
      <c r="D10" s="47">
        <f>134499062+73370241</f>
        <v>207869303</v>
      </c>
      <c r="E10" s="47">
        <f>9296681</f>
        <v>9296681</v>
      </c>
      <c r="F10" s="47">
        <f>15788261</f>
        <v>15788261</v>
      </c>
      <c r="G10" s="46">
        <f>C10+D10-E10-F10</f>
        <v>329926463</v>
      </c>
      <c r="H10" s="47">
        <v>30349124</v>
      </c>
      <c r="I10" s="47">
        <v>1886168</v>
      </c>
      <c r="J10" s="52">
        <f>H10+I10</f>
        <v>32235292</v>
      </c>
      <c r="K10" s="46">
        <f>IF(G10&gt;0,SUM($G$4:G10),0)</f>
        <v>2313841584</v>
      </c>
      <c r="L10" s="51">
        <f>IF(K10&lt;'جدول مالیات'!$F$6*A10,0,
IF(K10&gt;'جدول مالیات'!$C$10*A10,('جدول مالیات'!$I$9*A10)+((K10-('جدول مالیات'!$C$10*A10))*'جدول مالیات'!$J$10/100),
IF(K10&gt;'جدول مالیات'!$C$9*A10,('جدول مالیات'!$I$8*A10)+((K10-('جدول مالیات'!$C$9*A10))*'جدول مالیات'!$J$9/100),
IF(K10&gt;'جدول مالیات'!$C$8*A10,('جدول مالیات'!$I$7*A10)+((K10-('جدول مالیات'!$C$8*A10))*'جدول مالیات'!$J$8/100),
IF(K10&gt;'جدول مالیات'!$C$7*A10,('جدول مالیات'!$I$6*A10)+((K10-('جدول مالیات'!$C$7*A10))*'جدول مالیات'!$J$7/100),
)))))</f>
        <v>226518316.80000001</v>
      </c>
      <c r="M10" s="44">
        <f t="shared" si="2"/>
        <v>32235292.600000024</v>
      </c>
    </row>
    <row r="11" spans="1:13" ht="24" x14ac:dyDescent="0.55000000000000004">
      <c r="A11" s="4">
        <v>8</v>
      </c>
      <c r="B11" s="4" t="s">
        <v>9</v>
      </c>
      <c r="C11" s="48"/>
      <c r="D11" s="48"/>
      <c r="E11" s="48"/>
      <c r="F11" s="48"/>
      <c r="G11" s="46">
        <f t="shared" si="0"/>
        <v>0</v>
      </c>
      <c r="H11" s="48"/>
      <c r="I11" s="48"/>
      <c r="J11" s="52">
        <f t="shared" si="1"/>
        <v>0</v>
      </c>
      <c r="K11" s="46">
        <f>IF(G11&gt;0,SUM($G$4:G11),0)</f>
        <v>0</v>
      </c>
      <c r="L11" s="51">
        <f>IF(K11&lt;'جدول مالیات'!$F$6*A11,0,
IF(K11&gt;'جدول مالیات'!$C$10*A11,('جدول مالیات'!$I$9*A11)+((K11-('جدول مالیات'!$C$10*A11))*'جدول مالیات'!$J$10/100),
IF(K11&gt;'جدول مالیات'!$C$9*A11,('جدول مالیات'!$I$8*A11)+((K11-('جدول مالیات'!$C$9*A11))*'جدول مالیات'!$J$9/100),
IF(K11&gt;'جدول مالیات'!$C$8*A11,('جدول مالیات'!$I$7*A11)+((K11-('جدول مالیات'!$C$8*A11))*'جدول مالیات'!$J$8/100),
IF(K11&gt;'جدول مالیات'!$C$7*A11,('جدول مالیات'!$I$6*A11)+((K11-('جدول مالیات'!$C$7*A11))*'جدول مالیات'!$J$7/100),
)))))</f>
        <v>0</v>
      </c>
      <c r="M11" s="44">
        <f t="shared" si="2"/>
        <v>0</v>
      </c>
    </row>
    <row r="12" spans="1:13" ht="24" x14ac:dyDescent="0.55000000000000004">
      <c r="A12" s="4">
        <v>9</v>
      </c>
      <c r="B12" s="4" t="s">
        <v>10</v>
      </c>
      <c r="C12" s="48"/>
      <c r="D12" s="48"/>
      <c r="E12" s="48"/>
      <c r="F12" s="48"/>
      <c r="G12" s="46">
        <f t="shared" si="0"/>
        <v>0</v>
      </c>
      <c r="H12" s="48"/>
      <c r="I12" s="48"/>
      <c r="J12" s="52">
        <f t="shared" si="1"/>
        <v>0</v>
      </c>
      <c r="K12" s="46">
        <f>IF(G12&gt;0,SUM($G$4:G12),0)</f>
        <v>0</v>
      </c>
      <c r="L12" s="51">
        <f>IF(K12&lt;'جدول مالیات'!$F$6*A12,0,
IF(K12&gt;'جدول مالیات'!$C$10*A12,('جدول مالیات'!$I$9*A12)+((K12-('جدول مالیات'!$C$10*A12))*'جدول مالیات'!$J$10/100),
IF(K12&gt;'جدول مالیات'!$C$9*A12,('جدول مالیات'!$I$8*A12)+((K12-('جدول مالیات'!$C$9*A12))*'جدول مالیات'!$J$9/100),
IF(K12&gt;'جدول مالیات'!$C$8*A12,('جدول مالیات'!$I$7*A12)+((K12-('جدول مالیات'!$C$8*A12))*'جدول مالیات'!$J$8/100),
IF(K12&gt;'جدول مالیات'!$C$7*A12,('جدول مالیات'!$I$6*A12)+((K12-('جدول مالیات'!$C$7*A12))*'جدول مالیات'!$J$7/100),
)))))</f>
        <v>0</v>
      </c>
      <c r="M12" s="44">
        <f t="shared" si="2"/>
        <v>0</v>
      </c>
    </row>
    <row r="13" spans="1:13" ht="24" x14ac:dyDescent="0.55000000000000004">
      <c r="A13" s="4">
        <v>10</v>
      </c>
      <c r="B13" s="4" t="s">
        <v>11</v>
      </c>
      <c r="C13" s="48"/>
      <c r="D13" s="48"/>
      <c r="E13" s="48"/>
      <c r="F13" s="48"/>
      <c r="G13" s="46">
        <f t="shared" si="0"/>
        <v>0</v>
      </c>
      <c r="H13" s="48"/>
      <c r="I13" s="48"/>
      <c r="J13" s="52">
        <f t="shared" si="1"/>
        <v>0</v>
      </c>
      <c r="K13" s="46">
        <f>IF(G13&gt;0,SUM($G$4:G13),0)</f>
        <v>0</v>
      </c>
      <c r="L13" s="51">
        <f>IF(K13&lt;'جدول مالیات'!$F$6*A13,0,
IF(K13&gt;'جدول مالیات'!$C$10*A13,('جدول مالیات'!$I$9*A13)+((K13-('جدول مالیات'!$C$10*A13))*'جدول مالیات'!$J$10/100),
IF(K13&gt;'جدول مالیات'!$C$9*A13,('جدول مالیات'!$I$8*A13)+((K13-('جدول مالیات'!$C$9*A13))*'جدول مالیات'!$J$9/100),
IF(K13&gt;'جدول مالیات'!$C$8*A13,('جدول مالیات'!$I$7*A13)+((K13-('جدول مالیات'!$C$8*A13))*'جدول مالیات'!$J$8/100),
IF(K13&gt;'جدول مالیات'!$C$7*A13,('جدول مالیات'!$I$6*A13)+((K13-('جدول مالیات'!$C$7*A13))*'جدول مالیات'!$J$7/100),
)))))</f>
        <v>0</v>
      </c>
      <c r="M13" s="44">
        <f t="shared" si="2"/>
        <v>0</v>
      </c>
    </row>
    <row r="14" spans="1:13" ht="24" x14ac:dyDescent="0.55000000000000004">
      <c r="A14" s="4">
        <v>11</v>
      </c>
      <c r="B14" s="4" t="s">
        <v>12</v>
      </c>
      <c r="C14" s="48"/>
      <c r="D14" s="48"/>
      <c r="E14" s="48"/>
      <c r="F14" s="48"/>
      <c r="G14" s="46">
        <f t="shared" si="0"/>
        <v>0</v>
      </c>
      <c r="H14" s="48"/>
      <c r="I14" s="48"/>
      <c r="J14" s="52">
        <f t="shared" si="1"/>
        <v>0</v>
      </c>
      <c r="K14" s="46">
        <f>IF(G14&gt;0,SUM($G$4:G14),0)</f>
        <v>0</v>
      </c>
      <c r="L14" s="51">
        <f>IF(K14&lt;'جدول مالیات'!$F$6*A14,0,
IF(K14&gt;'جدول مالیات'!$C$10*A14,('جدول مالیات'!$I$9*A14)+((K14-('جدول مالیات'!$C$10*A14))*'جدول مالیات'!$J$10/100),
IF(K14&gt;'جدول مالیات'!$C$9*A14,('جدول مالیات'!$I$8*A14)+((K14-('جدول مالیات'!$C$9*A14))*'جدول مالیات'!$J$9/100),
IF(K14&gt;'جدول مالیات'!$C$8*A14,('جدول مالیات'!$I$7*A14)+((K14-('جدول مالیات'!$C$8*A14))*'جدول مالیات'!$J$8/100),
IF(K14&gt;'جدول مالیات'!$C$7*A14,('جدول مالیات'!$I$6*A14)+((K14-('جدول مالیات'!$C$7*A14))*'جدول مالیات'!$J$7/100),
)))))</f>
        <v>0</v>
      </c>
      <c r="M14" s="44">
        <f t="shared" si="2"/>
        <v>0</v>
      </c>
    </row>
    <row r="15" spans="1:13" ht="24" x14ac:dyDescent="0.55000000000000004">
      <c r="A15" s="4">
        <v>12</v>
      </c>
      <c r="B15" s="4" t="s">
        <v>13</v>
      </c>
      <c r="C15" s="48"/>
      <c r="D15" s="48"/>
      <c r="E15" s="48"/>
      <c r="F15" s="48"/>
      <c r="G15" s="46">
        <f t="shared" si="0"/>
        <v>0</v>
      </c>
      <c r="H15" s="48"/>
      <c r="I15" s="48"/>
      <c r="J15" s="52">
        <f t="shared" si="1"/>
        <v>0</v>
      </c>
      <c r="K15" s="46">
        <f>IF(G15&gt;0,SUM($G$4:G15),0)</f>
        <v>0</v>
      </c>
      <c r="L15" s="51">
        <f>IF(K15&lt;'جدول مالیات'!$F$6*A15,0,
IF(K15&gt;'جدول مالیات'!$C$10*A15,('جدول مالیات'!$I$9*A15)+((K15-('جدول مالیات'!$C$10*A15))*'جدول مالیات'!$J$10/100),
IF(K15&gt;'جدول مالیات'!$C$9*A15,('جدول مالیات'!$I$8*A15)+((K15-('جدول مالیات'!$C$9*A15))*'جدول مالیات'!$J$9/100),
IF(K15&gt;'جدول مالیات'!$C$8*A15,('جدول مالیات'!$I$7*A15)+((K15-('جدول مالیات'!$C$8*A15))*'جدول مالیات'!$J$8/100),
IF(K15&gt;'جدول مالیات'!$C$7*A15,('جدول مالیات'!$I$6*A15)+((K15-('جدول مالیات'!$C$7*A15))*'جدول مالیات'!$J$7/100),
)))))</f>
        <v>0</v>
      </c>
      <c r="M15" s="44">
        <f t="shared" si="2"/>
        <v>0</v>
      </c>
    </row>
    <row r="16" spans="1:13" ht="26.25" x14ac:dyDescent="0.55000000000000004">
      <c r="A16" s="4"/>
      <c r="B16" s="4" t="s">
        <v>14</v>
      </c>
      <c r="C16" s="45">
        <f>SUM(C4:C15)</f>
        <v>1055138297</v>
      </c>
      <c r="D16" s="45"/>
      <c r="E16" s="45">
        <f t="shared" ref="E16" si="3">SUM(E4:E15)</f>
        <v>70569183</v>
      </c>
      <c r="F16" s="45">
        <f t="shared" ref="F16:J16" si="4">SUM(F4:F15)</f>
        <v>100923499</v>
      </c>
      <c r="G16" s="45">
        <f t="shared" si="4"/>
        <v>2313841584</v>
      </c>
      <c r="H16" s="49">
        <f t="shared" ref="H16" si="5">SUM(H4:H15)</f>
        <v>96403670</v>
      </c>
      <c r="I16" s="49">
        <f t="shared" si="4"/>
        <v>130114646</v>
      </c>
      <c r="J16" s="49">
        <f t="shared" si="4"/>
        <v>226518316</v>
      </c>
      <c r="K16" s="45">
        <f>SUM(K4:K15)</f>
        <v>9251434948</v>
      </c>
      <c r="L16" s="45"/>
      <c r="M16" s="49">
        <f>SUM(M4:M15)</f>
        <v>226518316.80000001</v>
      </c>
    </row>
  </sheetData>
  <sheetProtection algorithmName="SHA-512" hashValue="Hk8TrqLPhgM2JQZspEbvcvArbS/cLQrhSiI8amA9YzraJhuDLuqHz3ro4sHgjzh3W0d3XxT0idoY4PSKBUGqVA==" saltValue="DsgVXMv+mnzvzxLKrr1w0A==" spinCount="100000" sheet="1" objects="1" scenarios="1" formatCells="0" formatColumns="0" formatRows="0" sort="0" autoFilter="0" pivotTables="0"/>
  <mergeCells count="3">
    <mergeCell ref="K2:M2"/>
    <mergeCell ref="C2:I2"/>
    <mergeCell ref="C1:M1"/>
  </mergeCells>
  <phoneticPr fontId="8" type="noConversion"/>
  <hyperlinks>
    <hyperlink ref="K2:M2" r:id="rId1" display="محاسبات به روش سالانه ( سايت نيك لاين)" xr:uid="{EBCC3CDD-9F56-4699-B998-8E321BA81D32}"/>
    <hyperlink ref="C2:I2" r:id="rId2" display="لينك آموزش نحوه ثبت صحيح اطلاعات در جدول ماليات حقوق 1403" xr:uid="{DB299C40-48EF-46EE-8CF4-989556F20C2C}"/>
    <hyperlink ref="E2" r:id="rId3" display="لينك آموزش نحوه ثبت صحيح اطلاعات در جدول ماليات حقوق 1403" xr:uid="{7E9FDEEF-1E9B-48C0-BAC3-B8ADE9D05B0D}"/>
    <hyperlink ref="H2" r:id="rId4" display="لينك آموزش نحوه ثبت صحيح اطلاعات در جدول ماليات حقوق 1403" xr:uid="{58085C0E-1191-408D-827E-A2A47B20115B}"/>
  </hyperlinks>
  <pageMargins left="0.7" right="0.7" top="0.75" bottom="0.75" header="0.3" footer="0.3"/>
  <pageSetup orientation="portrait" r:id="rId5"/>
  <drawing r:id="rId6"/>
  <legacyDrawing r:id="rId7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F2C880-E7C5-4991-B8FC-E194D99E9E9F}">
  <dimension ref="A1:P15"/>
  <sheetViews>
    <sheetView rightToLeft="1" workbookViewId="0">
      <selection activeCell="C7" sqref="C7"/>
    </sheetView>
  </sheetViews>
  <sheetFormatPr defaultColWidth="9" defaultRowHeight="22.5" x14ac:dyDescent="0.55000000000000004"/>
  <cols>
    <col min="1" max="1" width="1.5" style="11" customWidth="1"/>
    <col min="2" max="2" width="10.5" style="14" customWidth="1"/>
    <col min="3" max="4" width="12.5" style="12" customWidth="1"/>
    <col min="5" max="5" width="12.25" style="16" customWidth="1"/>
    <col min="6" max="6" width="12.75" style="12" customWidth="1"/>
    <col min="7" max="7" width="17.375" style="12" customWidth="1"/>
    <col min="8" max="8" width="14.875" style="12" hidden="1" customWidth="1"/>
    <col min="9" max="9" width="14.625" style="12" hidden="1" customWidth="1"/>
    <col min="10" max="10" width="8" style="14" customWidth="1"/>
    <col min="11" max="11" width="1.875" style="14" customWidth="1"/>
    <col min="12" max="12" width="10.125" style="11" hidden="1" customWidth="1"/>
    <col min="13" max="13" width="14" style="12" hidden="1" customWidth="1"/>
    <col min="14" max="14" width="14" style="11" bestFit="1" customWidth="1"/>
    <col min="15" max="15" width="12.125" style="11" bestFit="1" customWidth="1"/>
    <col min="16" max="16" width="11.75" style="11" bestFit="1" customWidth="1"/>
    <col min="17" max="16384" width="9" style="11"/>
  </cols>
  <sheetData>
    <row r="1" spans="1:16" ht="21.75" customHeight="1" x14ac:dyDescent="0.55000000000000004">
      <c r="A1" s="6"/>
      <c r="B1" s="7"/>
      <c r="C1" s="8"/>
      <c r="D1" s="8"/>
      <c r="E1" s="9"/>
      <c r="F1" s="8"/>
      <c r="G1" s="8"/>
      <c r="H1" s="8"/>
      <c r="I1" s="8"/>
      <c r="J1" s="7"/>
      <c r="K1" s="10"/>
    </row>
    <row r="2" spans="1:16" s="14" customFormat="1" ht="21.75" customHeight="1" x14ac:dyDescent="0.6">
      <c r="A2" s="13"/>
      <c r="C2" s="60" t="s">
        <v>29</v>
      </c>
      <c r="D2" s="60"/>
      <c r="E2" s="60"/>
      <c r="F2" s="60"/>
      <c r="G2" s="61"/>
      <c r="H2" s="62"/>
      <c r="I2" s="62"/>
      <c r="J2" s="62"/>
      <c r="K2" s="15"/>
      <c r="M2" s="16"/>
    </row>
    <row r="3" spans="1:16" ht="9.75" customHeight="1" x14ac:dyDescent="0.55000000000000004">
      <c r="A3" s="17"/>
      <c r="K3" s="15"/>
    </row>
    <row r="4" spans="1:16" ht="12" customHeight="1" x14ac:dyDescent="0.6">
      <c r="A4" s="17"/>
      <c r="B4" s="63"/>
      <c r="C4" s="64"/>
      <c r="D4" s="64"/>
      <c r="E4" s="64"/>
      <c r="F4" s="64"/>
      <c r="G4" s="64"/>
      <c r="H4" s="18"/>
      <c r="I4" s="18"/>
      <c r="J4" s="19"/>
      <c r="K4" s="20"/>
    </row>
    <row r="5" spans="1:16" ht="24" x14ac:dyDescent="0.6">
      <c r="A5" s="17"/>
      <c r="B5" s="21"/>
      <c r="C5" s="22" t="s">
        <v>16</v>
      </c>
      <c r="D5" s="22" t="s">
        <v>17</v>
      </c>
      <c r="E5" s="22"/>
      <c r="F5" s="22" t="s">
        <v>16</v>
      </c>
      <c r="G5" s="22" t="s">
        <v>17</v>
      </c>
      <c r="H5" s="22" t="s">
        <v>18</v>
      </c>
      <c r="I5" s="22" t="s">
        <v>19</v>
      </c>
      <c r="J5" s="23" t="s">
        <v>20</v>
      </c>
      <c r="K5" s="20"/>
      <c r="L5" s="11" t="s">
        <v>21</v>
      </c>
      <c r="M5" s="12">
        <v>885165</v>
      </c>
    </row>
    <row r="6" spans="1:16" ht="24" x14ac:dyDescent="0.6">
      <c r="A6" s="17"/>
      <c r="B6" s="24" t="s">
        <v>22</v>
      </c>
      <c r="C6" s="25">
        <v>0</v>
      </c>
      <c r="D6" s="25"/>
      <c r="E6" s="26" t="s">
        <v>23</v>
      </c>
      <c r="F6" s="25">
        <v>120000000</v>
      </c>
      <c r="G6" s="27">
        <f t="shared" ref="G6:G10" si="0">F6*12</f>
        <v>1440000000</v>
      </c>
      <c r="H6" s="27">
        <v>0</v>
      </c>
      <c r="I6" s="27">
        <f>H6</f>
        <v>0</v>
      </c>
      <c r="J6" s="28">
        <v>0</v>
      </c>
      <c r="K6" s="20"/>
      <c r="L6" s="11" t="s">
        <v>24</v>
      </c>
      <c r="M6" s="12">
        <v>1400000</v>
      </c>
    </row>
    <row r="7" spans="1:16" ht="24" x14ac:dyDescent="0.6">
      <c r="A7" s="17"/>
      <c r="B7" s="29" t="s">
        <v>22</v>
      </c>
      <c r="C7" s="30">
        <f t="shared" ref="C7:C10" si="1">F6</f>
        <v>120000000</v>
      </c>
      <c r="D7" s="31">
        <f t="shared" ref="D7:D10" si="2">C7*12</f>
        <v>1440000000</v>
      </c>
      <c r="E7" s="32" t="s">
        <v>23</v>
      </c>
      <c r="F7" s="30">
        <v>165000000</v>
      </c>
      <c r="G7" s="31">
        <f t="shared" si="0"/>
        <v>1980000000</v>
      </c>
      <c r="H7" s="31">
        <f>(F7-C7)*J7/100</f>
        <v>4500000</v>
      </c>
      <c r="I7" s="31">
        <f>H7+I6</f>
        <v>4500000</v>
      </c>
      <c r="J7" s="33">
        <v>10</v>
      </c>
      <c r="K7" s="20"/>
      <c r="L7" s="11" t="s">
        <v>25</v>
      </c>
      <c r="M7" s="12">
        <v>6000000</v>
      </c>
    </row>
    <row r="8" spans="1:16" ht="24" x14ac:dyDescent="0.6">
      <c r="A8" s="17"/>
      <c r="B8" s="24" t="s">
        <v>22</v>
      </c>
      <c r="C8" s="25">
        <f t="shared" si="1"/>
        <v>165000000</v>
      </c>
      <c r="D8" s="27">
        <f t="shared" si="2"/>
        <v>1980000000</v>
      </c>
      <c r="E8" s="26" t="s">
        <v>23</v>
      </c>
      <c r="F8" s="25">
        <v>270000000</v>
      </c>
      <c r="G8" s="27">
        <f t="shared" si="0"/>
        <v>3240000000</v>
      </c>
      <c r="H8" s="27">
        <f>(F8-C8)*J8/100</f>
        <v>15750000</v>
      </c>
      <c r="I8" s="27">
        <f>H8+I7</f>
        <v>20250000</v>
      </c>
      <c r="J8" s="28">
        <v>15</v>
      </c>
      <c r="K8" s="20"/>
      <c r="L8" s="11" t="s">
        <v>26</v>
      </c>
      <c r="M8" s="12">
        <v>4500000</v>
      </c>
    </row>
    <row r="9" spans="1:16" ht="24" x14ac:dyDescent="0.6">
      <c r="A9" s="17"/>
      <c r="B9" s="29" t="s">
        <v>22</v>
      </c>
      <c r="C9" s="30">
        <f t="shared" si="1"/>
        <v>270000000</v>
      </c>
      <c r="D9" s="31">
        <f t="shared" si="2"/>
        <v>3240000000</v>
      </c>
      <c r="E9" s="32" t="s">
        <v>23</v>
      </c>
      <c r="F9" s="30">
        <v>400000000</v>
      </c>
      <c r="G9" s="31">
        <f t="shared" si="0"/>
        <v>4800000000</v>
      </c>
      <c r="H9" s="31">
        <f>(F9-C9)*J9/100</f>
        <v>26000000</v>
      </c>
      <c r="I9" s="31">
        <f>H9+I8</f>
        <v>46250000</v>
      </c>
      <c r="J9" s="33">
        <v>20</v>
      </c>
      <c r="K9" s="20"/>
    </row>
    <row r="10" spans="1:16" ht="24" x14ac:dyDescent="0.6">
      <c r="A10" s="17"/>
      <c r="B10" s="24" t="s">
        <v>22</v>
      </c>
      <c r="C10" s="25">
        <f t="shared" si="1"/>
        <v>400000000</v>
      </c>
      <c r="D10" s="27">
        <f t="shared" si="2"/>
        <v>4800000000</v>
      </c>
      <c r="E10" s="26" t="s">
        <v>23</v>
      </c>
      <c r="F10" s="25"/>
      <c r="G10" s="27">
        <f t="shared" si="0"/>
        <v>0</v>
      </c>
      <c r="H10" s="27">
        <v>0</v>
      </c>
      <c r="I10" s="27">
        <f>H10+I9</f>
        <v>46250000</v>
      </c>
      <c r="J10" s="28">
        <v>30</v>
      </c>
      <c r="K10" s="20"/>
    </row>
    <row r="11" spans="1:16" ht="10.5" customHeight="1" x14ac:dyDescent="0.55000000000000004">
      <c r="A11" s="17"/>
      <c r="K11" s="15"/>
    </row>
    <row r="12" spans="1:16" ht="27" customHeight="1" x14ac:dyDescent="0.55000000000000004">
      <c r="A12" s="17"/>
      <c r="K12" s="15"/>
    </row>
    <row r="13" spans="1:16" s="34" customFormat="1" ht="36" customHeight="1" x14ac:dyDescent="0.55000000000000004">
      <c r="C13" s="65" t="s">
        <v>27</v>
      </c>
      <c r="D13" s="66"/>
      <c r="E13" s="67"/>
      <c r="F13" s="68">
        <v>2707815000</v>
      </c>
      <c r="G13" s="68"/>
      <c r="H13" s="35"/>
      <c r="I13" s="35"/>
      <c r="J13" s="36">
        <v>11</v>
      </c>
      <c r="K13" s="15"/>
      <c r="M13" s="35"/>
      <c r="N13" s="11"/>
    </row>
    <row r="14" spans="1:16" s="34" customFormat="1" ht="38.25" customHeight="1" x14ac:dyDescent="0.2">
      <c r="C14" s="56" t="s">
        <v>28</v>
      </c>
      <c r="D14" s="57"/>
      <c r="E14" s="58"/>
      <c r="F14" s="59">
        <f>IF(F13&lt;F6,0,
IF(F13&gt;C10,I9+((F13-C10)*J10/100),
IF(F13&gt;C9,I8+((F13-C9)*J9/100),
IF(F13&gt;C8,I7+((F13-C8)*J8/100),
IF(F13&gt;C7,I6+((F13-C7)*J7/100),
)))))</f>
        <v>738594500</v>
      </c>
      <c r="G14" s="59"/>
      <c r="H14" s="35"/>
      <c r="I14" s="35"/>
      <c r="J14" s="35"/>
      <c r="K14" s="15"/>
      <c r="M14" s="35"/>
      <c r="N14" s="35"/>
      <c r="P14" s="35"/>
    </row>
    <row r="15" spans="1:16" s="14" customFormat="1" ht="11.25" customHeight="1" x14ac:dyDescent="0.55000000000000004">
      <c r="A15" s="37"/>
      <c r="B15" s="38"/>
      <c r="C15" s="39"/>
      <c r="D15" s="39"/>
      <c r="E15" s="40"/>
      <c r="F15" s="39"/>
      <c r="G15" s="39"/>
      <c r="H15" s="39"/>
      <c r="I15" s="39"/>
      <c r="J15" s="38"/>
      <c r="K15" s="41"/>
      <c r="M15" s="16"/>
    </row>
  </sheetData>
  <sheetProtection algorithmName="SHA-512" hashValue="piQHuGM1rx7DmkSdOaWL128T6VkxHpGciSZhGdNt8TeZD7tNmqa4euDkGebihQzYa7jMGftIElWN/Tf1985Nyg==" saltValue="9TFiLSrNFdcn8nREzMz7WQ==" spinCount="100000" sheet="1" formatCells="0" formatColumns="0" formatRows="0" autoFilter="0" pivotTables="0"/>
  <mergeCells count="7">
    <mergeCell ref="C14:E14"/>
    <mergeCell ref="F14:G14"/>
    <mergeCell ref="C2:F2"/>
    <mergeCell ref="G2:J2"/>
    <mergeCell ref="B4:G4"/>
    <mergeCell ref="C13:E13"/>
    <mergeCell ref="F13:G13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محاسبه ماليات ساليانه 1</vt:lpstr>
      <vt:lpstr>محاسبه ماليات ساليانه 2</vt:lpstr>
      <vt:lpstr>جدول مالیات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Amir Khalili</dc:creator>
  <cp:lastModifiedBy>Amir Khalili</cp:lastModifiedBy>
  <dcterms:created xsi:type="dcterms:W3CDTF">2024-10-25T20:55:55Z</dcterms:created>
  <dcterms:modified xsi:type="dcterms:W3CDTF">2024-12-18T07:30:24Z</dcterms:modified>
</cp:coreProperties>
</file>