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945" activeTab="3"/>
  </bookViews>
  <sheets>
    <sheet name="فرمول مزد" sheetId="1" r:id="rId1"/>
    <sheet name=" محاسبه مزد" sheetId="2" r:id="rId2"/>
    <sheet name="دستمزد 1402" sheetId="3" r:id="rId3"/>
    <sheet name="بیمه ماهانه 1402" sheetId="4" r:id="rId4"/>
    <sheet name=" مالیات حقوق 1402" sheetId="5" r:id="rId5"/>
    <sheet name="محاسبه مالیات حقوق 1402" sheetId="6" r:id="rId6"/>
    <sheet name="محاسبه عیدی" sheetId="7" r:id="rId7"/>
  </sheets>
  <definedNames/>
  <calcPr fullCalcOnLoad="1"/>
</workbook>
</file>

<file path=xl/sharedStrings.xml><?xml version="1.0" encoding="utf-8"?>
<sst xmlns="http://schemas.openxmlformats.org/spreadsheetml/2006/main" count="134" uniqueCount="96">
  <si>
    <t>مبلغ ثابت</t>
  </si>
  <si>
    <t>اختلاف پلکان</t>
  </si>
  <si>
    <t>مبلغ جمع پلکان</t>
  </si>
  <si>
    <t>ردیف</t>
  </si>
  <si>
    <t>عنوان</t>
  </si>
  <si>
    <t>روزانه (ریال)</t>
  </si>
  <si>
    <t>حق خواروبار</t>
  </si>
  <si>
    <t>حق مسکن</t>
  </si>
  <si>
    <t>حق اولاد برای هر فرزند</t>
  </si>
  <si>
    <t>پایه سنوات در صورت داشتن شرایط کارگاه</t>
  </si>
  <si>
    <t>مبلغ معافیت مالیاتی سالانه</t>
  </si>
  <si>
    <t xml:space="preserve">مبلغ معافیت مالیاتی ماهانه </t>
  </si>
  <si>
    <t>حق خوار و بار</t>
  </si>
  <si>
    <t xml:space="preserve">  بیمه سهم کار فرما (20 درصد)</t>
  </si>
  <si>
    <t xml:space="preserve">  بیمه بیکاری سهم کار فرما (3 درصد)</t>
  </si>
  <si>
    <t xml:space="preserve">  بیمه سهم کارگر (7 درصد)</t>
  </si>
  <si>
    <t>جمع بیمه سهم کارفرما (23 درصد)</t>
  </si>
  <si>
    <t xml:space="preserve">  جمع مبلغ بیمه پرداختنی (30 درصد)</t>
  </si>
  <si>
    <t xml:space="preserve">حداقل دستمزد </t>
  </si>
  <si>
    <t>ماهیانه 30 روز (ریال)</t>
  </si>
  <si>
    <t>مبلغ حداقل دستمزد</t>
  </si>
  <si>
    <t>ماهانه</t>
  </si>
  <si>
    <t>سالانه</t>
  </si>
  <si>
    <t xml:space="preserve">درصد </t>
  </si>
  <si>
    <t>بالاتر از</t>
  </si>
  <si>
    <t>و پايين تر از</t>
  </si>
  <si>
    <t xml:space="preserve">مرحله اول : </t>
  </si>
  <si>
    <t xml:space="preserve">مرحله دوم : </t>
  </si>
  <si>
    <t>سال</t>
  </si>
  <si>
    <t>کارکرد سالانه</t>
  </si>
  <si>
    <t>مبلغ عیدی محاسبه شده</t>
  </si>
  <si>
    <t>جمع مزد و مزایا</t>
  </si>
  <si>
    <t>مزایای شغلی</t>
  </si>
  <si>
    <t>مالیات عیدی</t>
  </si>
  <si>
    <t>قابل توجه اینکه مالیات عیدی طبق مجموع درآمد سال محاسبه میگردد اما در این فرمول برای نمونه براساس مبلغ خالص عیدی و معافیت ماهانه محاسبه گردیده است</t>
  </si>
  <si>
    <t>دستمزد روزانه</t>
  </si>
  <si>
    <t>دستمزد ماهیانه</t>
  </si>
  <si>
    <t xml:space="preserve"> خوار و بار</t>
  </si>
  <si>
    <t xml:space="preserve"> سنوات روزانه</t>
  </si>
  <si>
    <t xml:space="preserve"> سنوات ماهانه</t>
  </si>
  <si>
    <t xml:space="preserve"> کلیه کارگاههای مشمول قانون کار مکلفند به هر یک از کارگران خود به نسبت یک سال کار معادل شصت روز آخرین مزد ، بعنوان عیدی و پاداش بپردازند.</t>
  </si>
  <si>
    <t xml:space="preserve"> کارگاههایی که غیر از موارد فوق آیتمهای دیگر مشمول بیمه را نیز پرداخت مینمایند باید در لیست بیمه نیز لحاظ کنند</t>
  </si>
  <si>
    <t>اسفند (29روز)</t>
  </si>
  <si>
    <t>مبلغ حداقل دستمزد و پایه سنوات  به ازای روزهای کارکرد تغییر میکند اما بقیه آیتمها در همه ماهها ثابت میباشد.</t>
  </si>
  <si>
    <t>4</t>
  </si>
  <si>
    <t>محدودیت تعداد فرزند برای حق اولاد از تیرماه 1392 برداشته شد و دیگر محدودیتی ندارد.</t>
  </si>
  <si>
    <r>
      <t xml:space="preserve">حق اولاد به کسانی تعلق میگیرد که حداقل </t>
    </r>
    <r>
      <rPr>
        <b/>
        <u val="single"/>
        <sz val="14"/>
        <color indexed="8"/>
        <rFont val="B Nazanin"/>
        <family val="0"/>
      </rPr>
      <t>720</t>
    </r>
    <r>
      <rPr>
        <b/>
        <sz val="14"/>
        <color indexed="8"/>
        <rFont val="B Nazanin"/>
        <family val="0"/>
      </rPr>
      <t xml:space="preserve"> روز سابقه بیمه داشته باشند.</t>
    </r>
  </si>
  <si>
    <t xml:space="preserve">پایه سنوات </t>
  </si>
  <si>
    <t>ثابت ریالی سایر سطوح</t>
  </si>
  <si>
    <t>پایه سنوات به کارگرانی که بیش از یکسال سابقه کار در کارگاه داشته باشند تعلق میگیرد</t>
  </si>
  <si>
    <t>1</t>
  </si>
  <si>
    <t>مبلغ مشمول مالیات رو وارد کنید</t>
  </si>
  <si>
    <t>مالیات محاسبه شده</t>
  </si>
  <si>
    <t>ثابت پله ماهانه</t>
  </si>
  <si>
    <t>پایه سنوات</t>
  </si>
  <si>
    <t>ماهیانه 31 روز</t>
  </si>
  <si>
    <t>ماهیانه 30 روز</t>
  </si>
  <si>
    <t xml:space="preserve">مبلغ معافیت مالیاتی ماهیانه </t>
  </si>
  <si>
    <t>روزانه</t>
  </si>
  <si>
    <t>ماهیانه 31روز</t>
  </si>
  <si>
    <t>ماهیانه 30روز</t>
  </si>
  <si>
    <t xml:space="preserve">روزانه </t>
  </si>
  <si>
    <r>
      <t xml:space="preserve">قابل توجه اینکه ردیف </t>
    </r>
    <r>
      <rPr>
        <b/>
        <u val="single"/>
        <sz val="14"/>
        <color indexed="8"/>
        <rFont val="B Nazanin"/>
        <family val="0"/>
      </rPr>
      <t>7</t>
    </r>
    <r>
      <rPr>
        <b/>
        <sz val="14"/>
        <color indexed="8"/>
        <rFont val="B Nazanin"/>
        <family val="0"/>
      </rPr>
      <t xml:space="preserve"> بعهده کارفرما میباشد و در سرفصل هزینه بیمه سهم کارفرما ثبت میگردد</t>
    </r>
  </si>
  <si>
    <r>
      <t xml:space="preserve">قابل توجه اینکه ردیف </t>
    </r>
    <r>
      <rPr>
        <b/>
        <u val="single"/>
        <sz val="14"/>
        <color indexed="8"/>
        <rFont val="B Nazanin"/>
        <family val="0"/>
      </rPr>
      <t>8</t>
    </r>
    <r>
      <rPr>
        <b/>
        <sz val="14"/>
        <color indexed="8"/>
        <rFont val="B Nazanin"/>
        <family val="0"/>
      </rPr>
      <t xml:space="preserve"> بعهده کارگر میباشد و در خالص پرداختی حقوق از کارگر کسر میگردد.</t>
    </r>
  </si>
  <si>
    <r>
      <t xml:space="preserve">قابل توجه اینکه ردیف </t>
    </r>
    <r>
      <rPr>
        <b/>
        <u val="single"/>
        <sz val="14"/>
        <color indexed="8"/>
        <rFont val="B Nazanin"/>
        <family val="0"/>
      </rPr>
      <t>9</t>
    </r>
    <r>
      <rPr>
        <b/>
        <sz val="14"/>
        <color indexed="8"/>
        <rFont val="B Nazanin"/>
        <family val="0"/>
      </rPr>
      <t xml:space="preserve"> جمع بیمه قابل پرداخت به سازمان تامین اجتماعی میباشد که در سر فصل سایر حسابهای پرداختنی - بیمه پرداختنی ثبت میگردد و تا آخرین روز ماه بعد قابل پرداخت میباشد</t>
    </r>
  </si>
  <si>
    <t xml:space="preserve">مالیات ثابت پله </t>
  </si>
  <si>
    <t xml:space="preserve">        بعنوان نمونه اگر جمع مشمول ماليات حقوق پرسنل برابر 190،000،000 ريال گردد محاسبـه ماليات به شرح زير ميباشد :</t>
  </si>
  <si>
    <t xml:space="preserve">جمع مشمول حداقل بیمه اجباری </t>
  </si>
  <si>
    <t>لیست سالیانه دستمزد و عوامل حقوقی و معافیت مالیاتی با افزایش سالانه</t>
  </si>
  <si>
    <t>افزایش ریالی سایر سطوح</t>
  </si>
  <si>
    <t>معافیت مالیاتی ماهانه</t>
  </si>
  <si>
    <t>درصد سایر سطوح</t>
  </si>
  <si>
    <t>جمع دستمزد</t>
  </si>
  <si>
    <t>سال شروع کاررا انتخاب کنید</t>
  </si>
  <si>
    <t>دستمزد روزانه تجمیعی</t>
  </si>
  <si>
    <t>سنوات تجمیعی</t>
  </si>
  <si>
    <t>جمع دستمزد تجمیعی</t>
  </si>
  <si>
    <t>تفاوت دو روش</t>
  </si>
  <si>
    <t>حداقل مزد روزانه</t>
  </si>
  <si>
    <t>پایه سنوات روزانه</t>
  </si>
  <si>
    <t>درصد افزایش سایر سطوح</t>
  </si>
  <si>
    <t>مبلغ ثابت افزایش سایر سطوح</t>
  </si>
  <si>
    <t>مزد محاسبه شده</t>
  </si>
  <si>
    <t>پایه سنوات محاسبه شده</t>
  </si>
  <si>
    <t>جدول دستمزد کارگران سال 1402</t>
  </si>
  <si>
    <t>سایر سطوح :  افزایش 21 درصدی نسبت به مزد (مزد پایه + پایه سنوات) سال قبل +  ثابت ریالی</t>
  </si>
  <si>
    <t>جدول ماليات حقوق سال 1402</t>
  </si>
  <si>
    <t>محاسبه عیدی کارگران در سال 1402</t>
  </si>
  <si>
    <t xml:space="preserve">مبلغ حداقل عیدی </t>
  </si>
  <si>
    <t>مبلغ حداکثر عیدی</t>
  </si>
  <si>
    <t>جدول حداقل بیمه اجباری  کارگران  سال 1402</t>
  </si>
  <si>
    <t>190،000،000 - 140،000،000 =  50،000،000 * 15% = 7،500،000</t>
  </si>
  <si>
    <t>140،000،000 - 100،000،000 = 40،000،000 * 10%= 4،000،000</t>
  </si>
  <si>
    <t>4،000،000 + 7،500،000 = 11،500،000     مبلغ نهايی ماليات حقوق</t>
  </si>
  <si>
    <t>جدول ماليات حقوق 1402</t>
  </si>
  <si>
    <t xml:space="preserve">مبلغ حداکثر عیدی </t>
  </si>
</sst>
</file>

<file path=xl/styles.xml><?xml version="1.0" encoding="utf-8"?>
<styleSheet xmlns="http://schemas.openxmlformats.org/spreadsheetml/2006/main">
  <numFmts count="16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 ;_ * #,##0\-_ ;_ * &quot;-&quot;_-_ ;_ @_ "/>
    <numFmt numFmtId="170" formatCode="_ * #,##0.00_-&quot;ريال&quot;_ ;_ * #,##0.00\-&quot;ريال&quot;_ ;_ * &quot;-&quot;??_-&quot;ريال&quot;_ ;_ @_ "/>
    <numFmt numFmtId="171" formatCode="_ * #,##0.00_-_ ;_ * #,##0.00\-_ ;_ * &quot;-&quot;??_-_ ;_ @_ 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color indexed="8"/>
      <name val="B Nazanin"/>
      <family val="0"/>
    </font>
    <font>
      <b/>
      <u val="single"/>
      <sz val="14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B Nazanin"/>
      <family val="0"/>
    </font>
    <font>
      <sz val="14"/>
      <color indexed="8"/>
      <name val="B Nazanin"/>
      <family val="0"/>
    </font>
    <font>
      <u val="single"/>
      <sz val="14"/>
      <color indexed="12"/>
      <name val="Calibri"/>
      <family val="2"/>
    </font>
    <font>
      <b/>
      <u val="single"/>
      <sz val="14"/>
      <color indexed="10"/>
      <name val="Calibri"/>
      <family val="2"/>
    </font>
    <font>
      <b/>
      <sz val="15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6"/>
      <color indexed="8"/>
      <name val="B Nazanin"/>
      <family val="0"/>
    </font>
    <font>
      <b/>
      <sz val="16"/>
      <color indexed="8"/>
      <name val="B Nazanin"/>
      <family val="0"/>
    </font>
    <font>
      <sz val="12"/>
      <color indexed="8"/>
      <name val="B Nazanin"/>
      <family val="0"/>
    </font>
    <font>
      <b/>
      <sz val="55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B Nazanin"/>
      <family val="0"/>
    </font>
    <font>
      <b/>
      <sz val="14"/>
      <color theme="1"/>
      <name val="B Nazanin"/>
      <family val="0"/>
    </font>
    <font>
      <sz val="14"/>
      <color theme="1"/>
      <name val="B Nazanin"/>
      <family val="0"/>
    </font>
    <font>
      <u val="single"/>
      <sz val="14"/>
      <color theme="10"/>
      <name val="Calibri"/>
      <family val="2"/>
    </font>
    <font>
      <b/>
      <u val="single"/>
      <sz val="14"/>
      <color rgb="FFFF0000"/>
      <name val="Calibri"/>
      <family val="2"/>
    </font>
    <font>
      <b/>
      <sz val="15"/>
      <color theme="1"/>
      <name val="B Nazanin"/>
      <family val="0"/>
    </font>
    <font>
      <b/>
      <sz val="12"/>
      <color theme="1"/>
      <name val="B Nazanin"/>
      <family val="0"/>
    </font>
    <font>
      <b/>
      <sz val="13"/>
      <color theme="1"/>
      <name val="B Nazanin"/>
      <family val="0"/>
    </font>
    <font>
      <sz val="16"/>
      <color theme="1"/>
      <name val="B Nazanin"/>
      <family val="0"/>
    </font>
    <font>
      <b/>
      <sz val="16"/>
      <color theme="1"/>
      <name val="B Nazanin"/>
      <family val="0"/>
    </font>
    <font>
      <sz val="12"/>
      <color theme="1"/>
      <name val="B Nazanin"/>
      <family val="0"/>
    </font>
    <font>
      <b/>
      <sz val="55"/>
      <color rgb="FFC00000"/>
      <name val="B Nazanin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C2D7F0"/>
        <bgColor indexed="64"/>
      </patternFill>
    </fill>
    <fill>
      <patternFill patternType="solid">
        <fgColor rgb="FF97F7B5"/>
        <bgColor indexed="64"/>
      </patternFill>
    </fill>
    <fill>
      <patternFill patternType="solid">
        <fgColor rgb="FFF49A90"/>
        <bgColor indexed="64"/>
      </patternFill>
    </fill>
    <fill>
      <patternFill patternType="solid">
        <fgColor rgb="FF81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5DFF5D"/>
        <bgColor indexed="64"/>
      </patternFill>
    </fill>
    <fill>
      <patternFill patternType="solid">
        <fgColor rgb="FFFFFF4F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3" fontId="50" fillId="0" borderId="0" xfId="0" applyNumberFormat="1" applyFont="1" applyAlignment="1" applyProtection="1">
      <alignment/>
      <protection hidden="1"/>
    </xf>
    <xf numFmtId="3" fontId="51" fillId="3" borderId="10" xfId="0" applyNumberFormat="1" applyFont="1" applyFill="1" applyBorder="1" applyAlignment="1" applyProtection="1">
      <alignment shrinkToFit="1"/>
      <protection hidden="1"/>
    </xf>
    <xf numFmtId="3" fontId="51" fillId="3" borderId="10" xfId="0" applyNumberFormat="1" applyFont="1" applyFill="1" applyBorder="1" applyAlignment="1" applyProtection="1">
      <alignment/>
      <protection hidden="1"/>
    </xf>
    <xf numFmtId="3" fontId="51" fillId="0" borderId="0" xfId="0" applyNumberFormat="1" applyFont="1" applyBorder="1" applyAlignment="1" applyProtection="1">
      <alignment shrinkToFit="1"/>
      <protection hidden="1"/>
    </xf>
    <xf numFmtId="3" fontId="51" fillId="33" borderId="11" xfId="0" applyNumberFormat="1" applyFont="1" applyFill="1" applyBorder="1" applyAlignment="1" applyProtection="1">
      <alignment vertical="center" shrinkToFit="1"/>
      <protection hidden="1"/>
    </xf>
    <xf numFmtId="3" fontId="51" fillId="33" borderId="12" xfId="0" applyNumberFormat="1" applyFont="1" applyFill="1" applyBorder="1" applyAlignment="1" applyProtection="1">
      <alignment vertical="center" shrinkToFit="1"/>
      <protection hidden="1"/>
    </xf>
    <xf numFmtId="0" fontId="52" fillId="0" borderId="13" xfId="0" applyFont="1" applyBorder="1" applyAlignment="1" applyProtection="1">
      <alignment/>
      <protection/>
    </xf>
    <xf numFmtId="0" fontId="52" fillId="0" borderId="11" xfId="0" applyFont="1" applyBorder="1" applyAlignment="1" applyProtection="1">
      <alignment horizontal="center" vertical="center"/>
      <protection/>
    </xf>
    <xf numFmtId="3" fontId="52" fillId="0" borderId="11" xfId="0" applyNumberFormat="1" applyFont="1" applyBorder="1" applyAlignment="1" applyProtection="1">
      <alignment/>
      <protection/>
    </xf>
    <xf numFmtId="3" fontId="52" fillId="0" borderId="11" xfId="0" applyNumberFormat="1" applyFont="1" applyBorder="1" applyAlignment="1" applyProtection="1">
      <alignment horizontal="center" vertical="center"/>
      <protection/>
    </xf>
    <xf numFmtId="0" fontId="52" fillId="0" borderId="14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 horizontal="center" vertical="center"/>
      <protection/>
    </xf>
    <xf numFmtId="0" fontId="53" fillId="0" borderId="0" xfId="52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/>
      <protection/>
    </xf>
    <xf numFmtId="3" fontId="52" fillId="0" borderId="0" xfId="0" applyNumberFormat="1" applyFont="1" applyBorder="1" applyAlignment="1" applyProtection="1">
      <alignment/>
      <protection/>
    </xf>
    <xf numFmtId="3" fontId="52" fillId="0" borderId="0" xfId="0" applyNumberFormat="1" applyFont="1" applyBorder="1" applyAlignment="1" applyProtection="1">
      <alignment horizontal="center" vertical="center"/>
      <protection/>
    </xf>
    <xf numFmtId="0" fontId="51" fillId="0" borderId="16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3" fontId="51" fillId="34" borderId="17" xfId="0" applyNumberFormat="1" applyFont="1" applyFill="1" applyBorder="1" applyAlignment="1" applyProtection="1">
      <alignment horizontal="center"/>
      <protection/>
    </xf>
    <xf numFmtId="3" fontId="51" fillId="34" borderId="18" xfId="0" applyNumberFormat="1" applyFont="1" applyFill="1" applyBorder="1" applyAlignment="1" applyProtection="1">
      <alignment horizontal="center"/>
      <protection/>
    </xf>
    <xf numFmtId="0" fontId="52" fillId="6" borderId="19" xfId="0" applyFont="1" applyFill="1" applyBorder="1" applyAlignment="1" applyProtection="1">
      <alignment horizontal="center" vertical="center"/>
      <protection/>
    </xf>
    <xf numFmtId="3" fontId="51" fillId="6" borderId="12" xfId="0" applyNumberFormat="1" applyFont="1" applyFill="1" applyBorder="1" applyAlignment="1" applyProtection="1">
      <alignment/>
      <protection/>
    </xf>
    <xf numFmtId="3" fontId="52" fillId="6" borderId="12" xfId="0" applyNumberFormat="1" applyFont="1" applyFill="1" applyBorder="1" applyAlignment="1" applyProtection="1">
      <alignment horizontal="center" vertical="center"/>
      <protection/>
    </xf>
    <xf numFmtId="3" fontId="51" fillId="6" borderId="12" xfId="0" applyNumberFormat="1" applyFont="1" applyFill="1" applyBorder="1" applyAlignment="1" applyProtection="1">
      <alignment horizontal="left"/>
      <protection/>
    </xf>
    <xf numFmtId="0" fontId="51" fillId="6" borderId="10" xfId="0" applyFont="1" applyFill="1" applyBorder="1" applyAlignment="1" applyProtection="1">
      <alignment horizontal="center" vertical="center"/>
      <protection/>
    </xf>
    <xf numFmtId="0" fontId="51" fillId="0" borderId="16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2" fillId="3" borderId="19" xfId="0" applyFont="1" applyFill="1" applyBorder="1" applyAlignment="1" applyProtection="1">
      <alignment horizontal="center" vertical="center"/>
      <protection/>
    </xf>
    <xf numFmtId="3" fontId="51" fillId="3" borderId="12" xfId="0" applyNumberFormat="1" applyFont="1" applyFill="1" applyBorder="1" applyAlignment="1" applyProtection="1">
      <alignment/>
      <protection/>
    </xf>
    <xf numFmtId="3" fontId="51" fillId="3" borderId="12" xfId="0" applyNumberFormat="1" applyFont="1" applyFill="1" applyBorder="1" applyAlignment="1" applyProtection="1">
      <alignment horizontal="left"/>
      <protection/>
    </xf>
    <xf numFmtId="3" fontId="52" fillId="3" borderId="12" xfId="0" applyNumberFormat="1" applyFont="1" applyFill="1" applyBorder="1" applyAlignment="1" applyProtection="1">
      <alignment horizontal="center" vertical="center"/>
      <protection/>
    </xf>
    <xf numFmtId="0" fontId="51" fillId="3" borderId="10" xfId="0" applyFont="1" applyFill="1" applyBorder="1" applyAlignment="1" applyProtection="1">
      <alignment horizontal="center" vertical="center"/>
      <protection/>
    </xf>
    <xf numFmtId="3" fontId="52" fillId="0" borderId="0" xfId="0" applyNumberFormat="1" applyFont="1" applyAlignment="1" applyProtection="1">
      <alignment/>
      <protection/>
    </xf>
    <xf numFmtId="0" fontId="54" fillId="0" borderId="0" xfId="52" applyFont="1" applyFill="1" applyBorder="1" applyAlignment="1" applyProtection="1">
      <alignment horizontal="center" vertical="center"/>
      <protection hidden="1"/>
    </xf>
    <xf numFmtId="3" fontId="51" fillId="19" borderId="10" xfId="0" applyNumberFormat="1" applyFont="1" applyFill="1" applyBorder="1" applyAlignment="1" applyProtection="1">
      <alignment/>
      <protection hidden="1"/>
    </xf>
    <xf numFmtId="3" fontId="51" fillId="11" borderId="10" xfId="0" applyNumberFormat="1" applyFont="1" applyFill="1" applyBorder="1" applyAlignment="1" applyProtection="1">
      <alignment shrinkToFit="1"/>
      <protection hidden="1"/>
    </xf>
    <xf numFmtId="3" fontId="51" fillId="11" borderId="10" xfId="0" applyNumberFormat="1" applyFont="1" applyFill="1" applyBorder="1" applyAlignment="1" applyProtection="1">
      <alignment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3" fontId="52" fillId="0" borderId="0" xfId="0" applyNumberFormat="1" applyFont="1" applyAlignment="1" applyProtection="1">
      <alignment/>
      <protection hidden="1"/>
    </xf>
    <xf numFmtId="3" fontId="52" fillId="0" borderId="0" xfId="0" applyNumberFormat="1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/>
      <protection hidden="1"/>
    </xf>
    <xf numFmtId="0" fontId="52" fillId="0" borderId="0" xfId="0" applyFont="1" applyBorder="1" applyAlignment="1" applyProtection="1">
      <alignment horizontal="center" vertical="center"/>
      <protection hidden="1"/>
    </xf>
    <xf numFmtId="0" fontId="53" fillId="0" borderId="0" xfId="52" applyFont="1" applyBorder="1" applyAlignment="1" applyProtection="1">
      <alignment horizontal="center" vertical="center"/>
      <protection hidden="1"/>
    </xf>
    <xf numFmtId="3" fontId="52" fillId="0" borderId="0" xfId="0" applyNumberFormat="1" applyFont="1" applyBorder="1" applyAlignment="1" applyProtection="1">
      <alignment/>
      <protection hidden="1"/>
    </xf>
    <xf numFmtId="3" fontId="52" fillId="0" borderId="0" xfId="0" applyNumberFormat="1" applyFont="1" applyBorder="1" applyAlignment="1" applyProtection="1">
      <alignment horizontal="center" vertical="center"/>
      <protection hidden="1"/>
    </xf>
    <xf numFmtId="3" fontId="51" fillId="34" borderId="10" xfId="0" applyNumberFormat="1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0" fontId="52" fillId="3" borderId="10" xfId="0" applyFont="1" applyFill="1" applyBorder="1" applyAlignment="1" applyProtection="1">
      <alignment horizontal="center" vertical="center"/>
      <protection hidden="1"/>
    </xf>
    <xf numFmtId="3" fontId="52" fillId="3" borderId="10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center" vertical="center"/>
      <protection hidden="1"/>
    </xf>
    <xf numFmtId="0" fontId="52" fillId="11" borderId="10" xfId="0" applyFont="1" applyFill="1" applyBorder="1" applyAlignment="1" applyProtection="1">
      <alignment horizontal="center" vertical="center"/>
      <protection hidden="1"/>
    </xf>
    <xf numFmtId="3" fontId="52" fillId="11" borderId="10" xfId="0" applyNumberFormat="1" applyFont="1" applyFill="1" applyBorder="1" applyAlignment="1" applyProtection="1">
      <alignment horizontal="center" vertical="center"/>
      <protection hidden="1"/>
    </xf>
    <xf numFmtId="3" fontId="51" fillId="0" borderId="0" xfId="0" applyNumberFormat="1" applyFont="1" applyBorder="1" applyAlignment="1" applyProtection="1">
      <alignment/>
      <protection hidden="1"/>
    </xf>
    <xf numFmtId="3" fontId="51" fillId="35" borderId="10" xfId="0" applyNumberFormat="1" applyFont="1" applyFill="1" applyBorder="1" applyAlignment="1" applyProtection="1">
      <alignment/>
      <protection hidden="1"/>
    </xf>
    <xf numFmtId="3" fontId="51" fillId="36" borderId="10" xfId="0" applyNumberFormat="1" applyFont="1" applyFill="1" applyBorder="1" applyAlignment="1" applyProtection="1">
      <alignment/>
      <protection hidden="1" locked="0"/>
    </xf>
    <xf numFmtId="3" fontId="51" fillId="16" borderId="10" xfId="0" applyNumberFormat="1" applyFont="1" applyFill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/>
    </xf>
    <xf numFmtId="0" fontId="51" fillId="34" borderId="20" xfId="0" applyFont="1" applyFill="1" applyBorder="1" applyAlignment="1" applyProtection="1">
      <alignment horizontal="center" vertical="center"/>
      <protection/>
    </xf>
    <xf numFmtId="0" fontId="51" fillId="34" borderId="21" xfId="0" applyFont="1" applyFill="1" applyBorder="1" applyAlignment="1" applyProtection="1">
      <alignment horizontal="center" vertical="center"/>
      <protection/>
    </xf>
    <xf numFmtId="3" fontId="51" fillId="33" borderId="13" xfId="0" applyNumberFormat="1" applyFont="1" applyFill="1" applyBorder="1" applyAlignment="1" applyProtection="1">
      <alignment vertical="center" shrinkToFit="1"/>
      <protection hidden="1"/>
    </xf>
    <xf numFmtId="3" fontId="51" fillId="6" borderId="12" xfId="0" applyNumberFormat="1" applyFont="1" applyFill="1" applyBorder="1" applyAlignment="1" applyProtection="1">
      <alignment horizontal="center"/>
      <protection/>
    </xf>
    <xf numFmtId="3" fontId="51" fillId="3" borderId="12" xfId="0" applyNumberFormat="1" applyFont="1" applyFill="1" applyBorder="1" applyAlignment="1" applyProtection="1">
      <alignment horizontal="center"/>
      <protection/>
    </xf>
    <xf numFmtId="3" fontId="52" fillId="0" borderId="0" xfId="0" applyNumberFormat="1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3" fontId="55" fillId="0" borderId="0" xfId="0" applyNumberFormat="1" applyFont="1" applyAlignment="1" applyProtection="1">
      <alignment horizontal="center" vertical="center"/>
      <protection/>
    </xf>
    <xf numFmtId="0" fontId="52" fillId="0" borderId="17" xfId="0" applyFont="1" applyBorder="1" applyAlignment="1" applyProtection="1">
      <alignment/>
      <protection/>
    </xf>
    <xf numFmtId="0" fontId="52" fillId="0" borderId="18" xfId="0" applyFont="1" applyBorder="1" applyAlignment="1" applyProtection="1">
      <alignment horizontal="center" vertical="center"/>
      <protection/>
    </xf>
    <xf numFmtId="3" fontId="52" fillId="0" borderId="18" xfId="0" applyNumberFormat="1" applyFont="1" applyBorder="1" applyAlignment="1" applyProtection="1">
      <alignment/>
      <protection/>
    </xf>
    <xf numFmtId="3" fontId="52" fillId="0" borderId="18" xfId="0" applyNumberFormat="1" applyFont="1" applyBorder="1" applyAlignment="1" applyProtection="1">
      <alignment horizontal="center" vertical="center"/>
      <protection/>
    </xf>
    <xf numFmtId="0" fontId="52" fillId="0" borderId="22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left"/>
      <protection/>
    </xf>
    <xf numFmtId="0" fontId="52" fillId="0" borderId="15" xfId="0" applyFont="1" applyBorder="1" applyAlignment="1" applyProtection="1">
      <alignment horizontal="left" vertical="center"/>
      <protection/>
    </xf>
    <xf numFmtId="0" fontId="56" fillId="37" borderId="0" xfId="0" applyFont="1" applyFill="1" applyBorder="1" applyAlignment="1" applyProtection="1">
      <alignment horizontal="left" vertical="center"/>
      <protection/>
    </xf>
    <xf numFmtId="0" fontId="52" fillId="0" borderId="16" xfId="0" applyFont="1" applyBorder="1" applyAlignment="1" applyProtection="1">
      <alignment horizontal="left" vertical="center"/>
      <protection/>
    </xf>
    <xf numFmtId="0" fontId="56" fillId="19" borderId="0" xfId="0" applyFont="1" applyFill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52" fillId="0" borderId="15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3" fontId="51" fillId="34" borderId="10" xfId="0" applyNumberFormat="1" applyFont="1" applyFill="1" applyBorder="1" applyAlignment="1" applyProtection="1">
      <alignment horizontal="center" vertical="center"/>
      <protection/>
    </xf>
    <xf numFmtId="3" fontId="57" fillId="34" borderId="10" xfId="0" applyNumberFormat="1" applyFont="1" applyFill="1" applyBorder="1" applyAlignment="1" applyProtection="1">
      <alignment horizontal="center" vertical="center" wrapText="1"/>
      <protection/>
    </xf>
    <xf numFmtId="3" fontId="51" fillId="34" borderId="20" xfId="0" applyNumberFormat="1" applyFont="1" applyFill="1" applyBorder="1" applyAlignment="1" applyProtection="1">
      <alignment horizontal="center" vertical="center"/>
      <protection/>
    </xf>
    <xf numFmtId="3" fontId="51" fillId="33" borderId="20" xfId="0" applyNumberFormat="1" applyFont="1" applyFill="1" applyBorder="1" applyAlignment="1" applyProtection="1">
      <alignment horizontal="center" vertical="center"/>
      <protection/>
    </xf>
    <xf numFmtId="3" fontId="51" fillId="33" borderId="10" xfId="0" applyNumberFormat="1" applyFont="1" applyFill="1" applyBorder="1" applyAlignment="1" applyProtection="1">
      <alignment horizontal="right" vertical="center"/>
      <protection/>
    </xf>
    <xf numFmtId="3" fontId="52" fillId="33" borderId="23" xfId="0" applyNumberFormat="1" applyFont="1" applyFill="1" applyBorder="1" applyAlignment="1" applyProtection="1">
      <alignment horizontal="center" vertical="center"/>
      <protection/>
    </xf>
    <xf numFmtId="3" fontId="51" fillId="33" borderId="23" xfId="0" applyNumberFormat="1" applyFont="1" applyFill="1" applyBorder="1" applyAlignment="1" applyProtection="1">
      <alignment horizontal="right" vertical="center"/>
      <protection/>
    </xf>
    <xf numFmtId="3" fontId="52" fillId="33" borderId="14" xfId="0" applyNumberFormat="1" applyFont="1" applyFill="1" applyBorder="1" applyAlignment="1" applyProtection="1">
      <alignment horizontal="center" vertical="center"/>
      <protection/>
    </xf>
    <xf numFmtId="3" fontId="51" fillId="33" borderId="14" xfId="0" applyNumberFormat="1" applyFont="1" applyFill="1" applyBorder="1" applyAlignment="1" applyProtection="1">
      <alignment horizontal="right" vertical="center"/>
      <protection/>
    </xf>
    <xf numFmtId="3" fontId="51" fillId="34" borderId="19" xfId="0" applyNumberFormat="1" applyFont="1" applyFill="1" applyBorder="1" applyAlignment="1" applyProtection="1">
      <alignment horizontal="center" vertical="center"/>
      <protection/>
    </xf>
    <xf numFmtId="0" fontId="58" fillId="38" borderId="24" xfId="0" applyFont="1" applyFill="1" applyBorder="1" applyAlignment="1" applyProtection="1">
      <alignment horizontal="right" vertical="center"/>
      <protection/>
    </xf>
    <xf numFmtId="3" fontId="58" fillId="38" borderId="25" xfId="0" applyNumberFormat="1" applyFont="1" applyFill="1" applyBorder="1" applyAlignment="1" applyProtection="1">
      <alignment horizontal="center" vertical="center"/>
      <protection/>
    </xf>
    <xf numFmtId="3" fontId="51" fillId="38" borderId="26" xfId="0" applyNumberFormat="1" applyFont="1" applyFill="1" applyBorder="1" applyAlignment="1" applyProtection="1">
      <alignment/>
      <protection/>
    </xf>
    <xf numFmtId="3" fontId="51" fillId="38" borderId="27" xfId="0" applyNumberFormat="1" applyFont="1" applyFill="1" applyBorder="1" applyAlignment="1" applyProtection="1">
      <alignment/>
      <protection/>
    </xf>
    <xf numFmtId="0" fontId="58" fillId="38" borderId="28" xfId="0" applyFont="1" applyFill="1" applyBorder="1" applyAlignment="1" applyProtection="1">
      <alignment horizontal="right" vertical="center"/>
      <protection/>
    </xf>
    <xf numFmtId="3" fontId="58" fillId="38" borderId="23" xfId="0" applyNumberFormat="1" applyFont="1" applyFill="1" applyBorder="1" applyAlignment="1" applyProtection="1">
      <alignment horizontal="center" vertical="center"/>
      <protection/>
    </xf>
    <xf numFmtId="3" fontId="51" fillId="38" borderId="10" xfId="0" applyNumberFormat="1" applyFont="1" applyFill="1" applyBorder="1" applyAlignment="1" applyProtection="1">
      <alignment/>
      <protection/>
    </xf>
    <xf numFmtId="3" fontId="51" fillId="38" borderId="29" xfId="0" applyNumberFormat="1" applyFont="1" applyFill="1" applyBorder="1" applyAlignment="1" applyProtection="1">
      <alignment/>
      <protection/>
    </xf>
    <xf numFmtId="0" fontId="58" fillId="39" borderId="28" xfId="0" applyFont="1" applyFill="1" applyBorder="1" applyAlignment="1" applyProtection="1">
      <alignment horizontal="right" vertical="center"/>
      <protection/>
    </xf>
    <xf numFmtId="3" fontId="58" fillId="39" borderId="23" xfId="0" applyNumberFormat="1" applyFont="1" applyFill="1" applyBorder="1" applyAlignment="1" applyProtection="1">
      <alignment horizontal="center" vertical="center"/>
      <protection/>
    </xf>
    <xf numFmtId="3" fontId="51" fillId="39" borderId="10" xfId="0" applyNumberFormat="1" applyFont="1" applyFill="1" applyBorder="1" applyAlignment="1" applyProtection="1">
      <alignment/>
      <protection/>
    </xf>
    <xf numFmtId="3" fontId="51" fillId="39" borderId="29" xfId="0" applyNumberFormat="1" applyFont="1" applyFill="1" applyBorder="1" applyAlignment="1" applyProtection="1">
      <alignment/>
      <protection/>
    </xf>
    <xf numFmtId="0" fontId="58" fillId="40" borderId="28" xfId="0" applyFont="1" applyFill="1" applyBorder="1" applyAlignment="1" applyProtection="1">
      <alignment horizontal="right" vertical="center"/>
      <protection/>
    </xf>
    <xf numFmtId="3" fontId="58" fillId="40" borderId="23" xfId="0" applyNumberFormat="1" applyFont="1" applyFill="1" applyBorder="1" applyAlignment="1" applyProtection="1">
      <alignment horizontal="center" vertical="center"/>
      <protection/>
    </xf>
    <xf numFmtId="3" fontId="51" fillId="40" borderId="10" xfId="0" applyNumberFormat="1" applyFont="1" applyFill="1" applyBorder="1" applyAlignment="1" applyProtection="1">
      <alignment/>
      <protection/>
    </xf>
    <xf numFmtId="3" fontId="51" fillId="40" borderId="29" xfId="0" applyNumberFormat="1" applyFont="1" applyFill="1" applyBorder="1" applyAlignment="1" applyProtection="1">
      <alignment/>
      <protection/>
    </xf>
    <xf numFmtId="0" fontId="58" fillId="41" borderId="30" xfId="0" applyFont="1" applyFill="1" applyBorder="1" applyAlignment="1" applyProtection="1">
      <alignment vertical="center"/>
      <protection/>
    </xf>
    <xf numFmtId="0" fontId="58" fillId="41" borderId="31" xfId="0" applyFont="1" applyFill="1" applyBorder="1" applyAlignment="1" applyProtection="1">
      <alignment vertical="center"/>
      <protection/>
    </xf>
    <xf numFmtId="3" fontId="51" fillId="41" borderId="32" xfId="0" applyNumberFormat="1" applyFont="1" applyFill="1" applyBorder="1" applyAlignment="1" applyProtection="1">
      <alignment/>
      <protection/>
    </xf>
    <xf numFmtId="3" fontId="51" fillId="41" borderId="33" xfId="0" applyNumberFormat="1" applyFont="1" applyFill="1" applyBorder="1" applyAlignment="1" applyProtection="1">
      <alignment/>
      <protection/>
    </xf>
    <xf numFmtId="0" fontId="50" fillId="0" borderId="0" xfId="0" applyFont="1" applyBorder="1" applyAlignment="1" applyProtection="1">
      <alignment horizontal="center" vertical="center"/>
      <protection/>
    </xf>
    <xf numFmtId="49" fontId="51" fillId="34" borderId="10" xfId="0" applyNumberFormat="1" applyFont="1" applyFill="1" applyBorder="1" applyAlignment="1" applyProtection="1">
      <alignment horizontal="center" vertical="center" shrinkToFit="1"/>
      <protection/>
    </xf>
    <xf numFmtId="3" fontId="51" fillId="33" borderId="20" xfId="0" applyNumberFormat="1" applyFont="1" applyFill="1" applyBorder="1" applyAlignment="1" applyProtection="1">
      <alignment horizontal="center" vertical="center" shrinkToFit="1"/>
      <protection/>
    </xf>
    <xf numFmtId="3" fontId="51" fillId="33" borderId="10" xfId="0" applyNumberFormat="1" applyFont="1" applyFill="1" applyBorder="1" applyAlignment="1" applyProtection="1">
      <alignment horizontal="right" vertical="center" shrinkToFit="1"/>
      <protection/>
    </xf>
    <xf numFmtId="3" fontId="52" fillId="33" borderId="23" xfId="0" applyNumberFormat="1" applyFont="1" applyFill="1" applyBorder="1" applyAlignment="1" applyProtection="1">
      <alignment horizontal="center" vertical="center" shrinkToFit="1"/>
      <protection/>
    </xf>
    <xf numFmtId="3" fontId="51" fillId="33" borderId="23" xfId="0" applyNumberFormat="1" applyFont="1" applyFill="1" applyBorder="1" applyAlignment="1" applyProtection="1">
      <alignment horizontal="right" vertical="center" shrinkToFit="1"/>
      <protection/>
    </xf>
    <xf numFmtId="3" fontId="51" fillId="33" borderId="14" xfId="0" applyNumberFormat="1" applyFont="1" applyFill="1" applyBorder="1" applyAlignment="1" applyProtection="1">
      <alignment horizontal="right" vertical="center" shrinkToFit="1"/>
      <protection/>
    </xf>
    <xf numFmtId="3" fontId="51" fillId="33" borderId="10" xfId="0" applyNumberFormat="1" applyFont="1" applyFill="1" applyBorder="1" applyAlignment="1" applyProtection="1">
      <alignment horizontal="center" vertical="center" shrinkToFit="1"/>
      <protection/>
    </xf>
    <xf numFmtId="3" fontId="51" fillId="35" borderId="23" xfId="0" applyNumberFormat="1" applyFont="1" applyFill="1" applyBorder="1" applyAlignment="1" applyProtection="1">
      <alignment horizontal="center"/>
      <protection/>
    </xf>
    <xf numFmtId="3" fontId="51" fillId="35" borderId="21" xfId="0" applyNumberFormat="1" applyFont="1" applyFill="1" applyBorder="1" applyAlignment="1" applyProtection="1">
      <alignment/>
      <protection/>
    </xf>
    <xf numFmtId="3" fontId="51" fillId="19" borderId="23" xfId="0" applyNumberFormat="1" applyFont="1" applyFill="1" applyBorder="1" applyAlignment="1" applyProtection="1">
      <alignment horizontal="center"/>
      <protection/>
    </xf>
    <xf numFmtId="3" fontId="51" fillId="19" borderId="10" xfId="0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/>
    </xf>
    <xf numFmtId="3" fontId="59" fillId="33" borderId="0" xfId="0" applyNumberFormat="1" applyFont="1" applyFill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3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3" fontId="56" fillId="40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shrinkToFit="1"/>
    </xf>
    <xf numFmtId="3" fontId="51" fillId="3" borderId="10" xfId="0" applyNumberFormat="1" applyFont="1" applyFill="1" applyBorder="1" applyAlignment="1">
      <alignment horizontal="center" vertical="center" shrinkToFit="1"/>
    </xf>
    <xf numFmtId="0" fontId="51" fillId="3" borderId="10" xfId="0" applyFont="1" applyFill="1" applyBorder="1" applyAlignment="1">
      <alignment horizontal="center" vertical="center" shrinkToFit="1"/>
    </xf>
    <xf numFmtId="3" fontId="51" fillId="42" borderId="10" xfId="0" applyNumberFormat="1" applyFont="1" applyFill="1" applyBorder="1" applyAlignment="1">
      <alignment horizontal="center" vertical="center" shrinkToFit="1"/>
    </xf>
    <xf numFmtId="3" fontId="51" fillId="10" borderId="10" xfId="0" applyNumberFormat="1" applyFont="1" applyFill="1" applyBorder="1" applyAlignment="1">
      <alignment horizontal="center" vertical="center" shrinkToFit="1"/>
    </xf>
    <xf numFmtId="3" fontId="51" fillId="39" borderId="10" xfId="0" applyNumberFormat="1" applyFont="1" applyFill="1" applyBorder="1" applyAlignment="1">
      <alignment horizontal="center" vertical="center" shrinkToFit="1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3" fontId="52" fillId="0" borderId="0" xfId="0" applyNumberFormat="1" applyFont="1" applyAlignment="1" applyProtection="1">
      <alignment horizontal="center" vertical="center"/>
      <protection locked="0"/>
    </xf>
    <xf numFmtId="0" fontId="59" fillId="36" borderId="0" xfId="0" applyFont="1" applyFill="1" applyAlignment="1" applyProtection="1">
      <alignment horizontal="center" vertical="center"/>
      <protection locked="0"/>
    </xf>
    <xf numFmtId="0" fontId="57" fillId="34" borderId="10" xfId="0" applyFont="1" applyFill="1" applyBorder="1" applyAlignment="1">
      <alignment horizontal="center" vertical="center"/>
    </xf>
    <xf numFmtId="3" fontId="57" fillId="13" borderId="10" xfId="0" applyNumberFormat="1" applyFont="1" applyFill="1" applyBorder="1" applyAlignment="1">
      <alignment horizontal="center" vertical="center"/>
    </xf>
    <xf numFmtId="3" fontId="57" fillId="13" borderId="19" xfId="0" applyNumberFormat="1" applyFont="1" applyFill="1" applyBorder="1" applyAlignment="1">
      <alignment horizontal="center" vertical="center"/>
    </xf>
    <xf numFmtId="9" fontId="57" fillId="13" borderId="10" xfId="0" applyNumberFormat="1" applyFont="1" applyFill="1" applyBorder="1" applyAlignment="1">
      <alignment horizontal="center" vertical="center"/>
    </xf>
    <xf numFmtId="9" fontId="57" fillId="13" borderId="19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 applyProtection="1">
      <alignment horizontal="center" vertical="center"/>
      <protection locked="0"/>
    </xf>
    <xf numFmtId="0" fontId="57" fillId="34" borderId="0" xfId="0" applyFont="1" applyFill="1" applyAlignment="1">
      <alignment horizontal="center" vertical="center"/>
    </xf>
    <xf numFmtId="3" fontId="57" fillId="36" borderId="10" xfId="0" applyNumberFormat="1" applyFont="1" applyFill="1" applyBorder="1" applyAlignment="1">
      <alignment horizontal="center" vertical="center"/>
    </xf>
    <xf numFmtId="3" fontId="57" fillId="43" borderId="10" xfId="0" applyNumberFormat="1" applyFont="1" applyFill="1" applyBorder="1" applyAlignment="1">
      <alignment horizontal="center" vertical="center"/>
    </xf>
    <xf numFmtId="3" fontId="57" fillId="38" borderId="10" xfId="0" applyNumberFormat="1" applyFont="1" applyFill="1" applyBorder="1" applyAlignment="1">
      <alignment horizontal="center" vertical="center"/>
    </xf>
    <xf numFmtId="10" fontId="57" fillId="13" borderId="10" xfId="0" applyNumberFormat="1" applyFont="1" applyFill="1" applyBorder="1" applyAlignment="1">
      <alignment horizontal="center" vertical="center"/>
    </xf>
    <xf numFmtId="3" fontId="51" fillId="34" borderId="11" xfId="0" applyNumberFormat="1" applyFont="1" applyFill="1" applyBorder="1" applyAlignment="1" applyProtection="1">
      <alignment horizontal="center"/>
      <protection/>
    </xf>
    <xf numFmtId="3" fontId="51" fillId="0" borderId="0" xfId="0" applyNumberFormat="1" applyFont="1" applyBorder="1" applyAlignment="1" applyProtection="1">
      <alignment horizontal="center" vertical="center"/>
      <protection/>
    </xf>
    <xf numFmtId="0" fontId="52" fillId="0" borderId="13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/>
    </xf>
    <xf numFmtId="3" fontId="52" fillId="0" borderId="11" xfId="0" applyNumberFormat="1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3" fontId="51" fillId="34" borderId="14" xfId="0" applyNumberFormat="1" applyFont="1" applyFill="1" applyBorder="1" applyAlignment="1" applyProtection="1">
      <alignment horizontal="center" vertical="center"/>
      <protection/>
    </xf>
    <xf numFmtId="3" fontId="51" fillId="34" borderId="18" xfId="0" applyNumberFormat="1" applyFont="1" applyFill="1" applyBorder="1" applyAlignment="1" applyProtection="1">
      <alignment horizontal="center" vertical="center"/>
      <protection/>
    </xf>
    <xf numFmtId="3" fontId="51" fillId="6" borderId="12" xfId="0" applyNumberFormat="1" applyFont="1" applyFill="1" applyBorder="1" applyAlignment="1" applyProtection="1">
      <alignment horizontal="center" vertical="center"/>
      <protection/>
    </xf>
    <xf numFmtId="3" fontId="51" fillId="3" borderId="1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 locked="0"/>
    </xf>
    <xf numFmtId="3" fontId="52" fillId="0" borderId="0" xfId="0" applyNumberFormat="1" applyFont="1" applyAlignment="1" applyProtection="1">
      <alignment/>
      <protection locked="0"/>
    </xf>
    <xf numFmtId="0" fontId="52" fillId="0" borderId="0" xfId="0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/>
    </xf>
    <xf numFmtId="0" fontId="50" fillId="0" borderId="0" xfId="0" applyFont="1" applyAlignment="1" applyProtection="1">
      <alignment/>
      <protection locked="0"/>
    </xf>
    <xf numFmtId="3" fontId="59" fillId="33" borderId="0" xfId="0" applyNumberFormat="1" applyFont="1" applyFill="1" applyAlignment="1">
      <alignment horizontal="center" vertical="center"/>
    </xf>
    <xf numFmtId="3" fontId="59" fillId="37" borderId="0" xfId="0" applyNumberFormat="1" applyFont="1" applyFill="1" applyAlignment="1">
      <alignment horizontal="center" vertical="center" shrinkToFit="1"/>
    </xf>
    <xf numFmtId="3" fontId="51" fillId="33" borderId="10" xfId="0" applyNumberFormat="1" applyFont="1" applyFill="1" applyBorder="1" applyAlignment="1" applyProtection="1">
      <alignment horizontal="center"/>
      <protection/>
    </xf>
    <xf numFmtId="3" fontId="51" fillId="33" borderId="19" xfId="0" applyNumberFormat="1" applyFont="1" applyFill="1" applyBorder="1" applyAlignment="1" applyProtection="1">
      <alignment horizontal="right" vertical="center" shrinkToFit="1"/>
      <protection hidden="1"/>
    </xf>
    <xf numFmtId="3" fontId="51" fillId="33" borderId="23" xfId="0" applyNumberFormat="1" applyFont="1" applyFill="1" applyBorder="1" applyAlignment="1" applyProtection="1">
      <alignment horizontal="right" vertical="center" shrinkToFit="1"/>
      <protection hidden="1"/>
    </xf>
    <xf numFmtId="3" fontId="51" fillId="3" borderId="19" xfId="0" applyNumberFormat="1" applyFont="1" applyFill="1" applyBorder="1" applyAlignment="1" applyProtection="1">
      <alignment horizontal="center" shrinkToFit="1"/>
      <protection hidden="1"/>
    </xf>
    <xf numFmtId="3" fontId="51" fillId="3" borderId="12" xfId="0" applyNumberFormat="1" applyFont="1" applyFill="1" applyBorder="1" applyAlignment="1" applyProtection="1">
      <alignment horizontal="center" shrinkToFit="1"/>
      <protection hidden="1"/>
    </xf>
    <xf numFmtId="3" fontId="51" fillId="3" borderId="23" xfId="0" applyNumberFormat="1" applyFont="1" applyFill="1" applyBorder="1" applyAlignment="1" applyProtection="1">
      <alignment horizontal="center" shrinkToFit="1"/>
      <protection hidden="1"/>
    </xf>
    <xf numFmtId="3" fontId="51" fillId="42" borderId="19" xfId="0" applyNumberFormat="1" applyFont="1" applyFill="1" applyBorder="1" applyAlignment="1" applyProtection="1">
      <alignment horizontal="center" shrinkToFit="1"/>
      <protection hidden="1"/>
    </xf>
    <xf numFmtId="3" fontId="51" fillId="42" borderId="12" xfId="0" applyNumberFormat="1" applyFont="1" applyFill="1" applyBorder="1" applyAlignment="1" applyProtection="1">
      <alignment horizontal="center" shrinkToFit="1"/>
      <protection hidden="1"/>
    </xf>
    <xf numFmtId="3" fontId="51" fillId="42" borderId="23" xfId="0" applyNumberFormat="1" applyFont="1" applyFill="1" applyBorder="1" applyAlignment="1" applyProtection="1">
      <alignment horizontal="center" shrinkToFit="1"/>
      <protection hidden="1"/>
    </xf>
    <xf numFmtId="3" fontId="51" fillId="33" borderId="19" xfId="0" applyNumberFormat="1" applyFont="1" applyFill="1" applyBorder="1" applyAlignment="1" applyProtection="1">
      <alignment horizontal="center" vertical="center" shrinkToFit="1"/>
      <protection hidden="1"/>
    </xf>
    <xf numFmtId="3" fontId="51" fillId="33" borderId="23" xfId="0" applyNumberFormat="1" applyFont="1" applyFill="1" applyBorder="1" applyAlignment="1" applyProtection="1">
      <alignment horizontal="center" vertical="center" shrinkToFit="1"/>
      <protection hidden="1"/>
    </xf>
    <xf numFmtId="0" fontId="51" fillId="38" borderId="10" xfId="0" applyFont="1" applyFill="1" applyBorder="1" applyAlignment="1" applyProtection="1">
      <alignment horizontal="center" vertical="center" wrapText="1"/>
      <protection/>
    </xf>
    <xf numFmtId="3" fontId="51" fillId="44" borderId="19" xfId="0" applyNumberFormat="1" applyFont="1" applyFill="1" applyBorder="1" applyAlignment="1" applyProtection="1">
      <alignment horizontal="center" shrinkToFit="1"/>
      <protection hidden="1"/>
    </xf>
    <xf numFmtId="3" fontId="51" fillId="44" borderId="12" xfId="0" applyNumberFormat="1" applyFont="1" applyFill="1" applyBorder="1" applyAlignment="1" applyProtection="1">
      <alignment horizontal="center" shrinkToFit="1"/>
      <protection hidden="1"/>
    </xf>
    <xf numFmtId="3" fontId="51" fillId="44" borderId="23" xfId="0" applyNumberFormat="1" applyFont="1" applyFill="1" applyBorder="1" applyAlignment="1" applyProtection="1">
      <alignment horizontal="center" shrinkToFit="1"/>
      <protection hidden="1"/>
    </xf>
    <xf numFmtId="2" fontId="51" fillId="39" borderId="10" xfId="0" applyNumberFormat="1" applyFont="1" applyFill="1" applyBorder="1" applyAlignment="1" applyProtection="1">
      <alignment horizontal="center" vertical="center" shrinkToFit="1"/>
      <protection/>
    </xf>
    <xf numFmtId="0" fontId="51" fillId="35" borderId="19" xfId="0" applyFont="1" applyFill="1" applyBorder="1" applyAlignment="1" applyProtection="1">
      <alignment horizontal="center" vertical="center"/>
      <protection/>
    </xf>
    <xf numFmtId="0" fontId="51" fillId="35" borderId="23" xfId="0" applyFont="1" applyFill="1" applyBorder="1" applyAlignment="1" applyProtection="1">
      <alignment horizontal="center" vertical="center"/>
      <protection/>
    </xf>
    <xf numFmtId="0" fontId="51" fillId="35" borderId="12" xfId="0" applyFont="1" applyFill="1" applyBorder="1" applyAlignment="1" applyProtection="1">
      <alignment horizontal="center" vertical="center"/>
      <protection/>
    </xf>
    <xf numFmtId="0" fontId="51" fillId="19" borderId="19" xfId="0" applyFont="1" applyFill="1" applyBorder="1" applyAlignment="1" applyProtection="1">
      <alignment horizontal="center" vertical="center"/>
      <protection/>
    </xf>
    <xf numFmtId="0" fontId="51" fillId="19" borderId="23" xfId="0" applyFont="1" applyFill="1" applyBorder="1" applyAlignment="1" applyProtection="1">
      <alignment horizontal="center" vertical="center"/>
      <protection/>
    </xf>
    <xf numFmtId="0" fontId="51" fillId="19" borderId="12" xfId="0" applyFont="1" applyFill="1" applyBorder="1" applyAlignment="1" applyProtection="1">
      <alignment horizontal="center" vertical="center"/>
      <protection/>
    </xf>
    <xf numFmtId="3" fontId="51" fillId="33" borderId="0" xfId="0" applyNumberFormat="1" applyFont="1" applyFill="1" applyBorder="1" applyAlignment="1" applyProtection="1">
      <alignment horizontal="center"/>
      <protection/>
    </xf>
    <xf numFmtId="0" fontId="57" fillId="13" borderId="0" xfId="0" applyFont="1" applyFill="1" applyBorder="1" applyAlignment="1" applyProtection="1">
      <alignment horizontal="center" vertical="center"/>
      <protection/>
    </xf>
    <xf numFmtId="0" fontId="51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horizontal="center" vertical="center"/>
      <protection/>
    </xf>
    <xf numFmtId="0" fontId="51" fillId="41" borderId="0" xfId="0" applyFont="1" applyFill="1" applyBorder="1" applyAlignment="1" applyProtection="1">
      <alignment horizontal="center" vertical="center" wrapText="1"/>
      <protection/>
    </xf>
    <xf numFmtId="3" fontId="51" fillId="0" borderId="0" xfId="0" applyNumberFormat="1" applyFont="1" applyBorder="1" applyAlignment="1" applyProtection="1">
      <alignment horizontal="left" vertical="center" wrapText="1"/>
      <protection/>
    </xf>
    <xf numFmtId="3" fontId="59" fillId="35" borderId="19" xfId="0" applyNumberFormat="1" applyFont="1" applyFill="1" applyBorder="1" applyAlignment="1" applyProtection="1">
      <alignment horizontal="center" vertical="center" wrapText="1"/>
      <protection/>
    </xf>
    <xf numFmtId="3" fontId="59" fillId="35" borderId="12" xfId="0" applyNumberFormat="1" applyFont="1" applyFill="1" applyBorder="1" applyAlignment="1" applyProtection="1">
      <alignment horizontal="center" vertical="center" wrapText="1"/>
      <protection/>
    </xf>
    <xf numFmtId="3" fontId="59" fillId="35" borderId="23" xfId="0" applyNumberFormat="1" applyFont="1" applyFill="1" applyBorder="1" applyAlignment="1" applyProtection="1">
      <alignment horizontal="center" vertical="center" wrapText="1"/>
      <protection/>
    </xf>
    <xf numFmtId="0" fontId="61" fillId="45" borderId="11" xfId="0" applyFont="1" applyFill="1" applyBorder="1" applyAlignment="1" applyProtection="1">
      <alignment horizontal="center" vertical="center"/>
      <protection locked="0"/>
    </xf>
    <xf numFmtId="0" fontId="54" fillId="0" borderId="15" xfId="52" applyFont="1" applyFill="1" applyBorder="1" applyAlignment="1" applyProtection="1">
      <alignment horizontal="center" vertical="center"/>
      <protection/>
    </xf>
    <xf numFmtId="0" fontId="54" fillId="0" borderId="0" xfId="52" applyFont="1" applyFill="1" applyBorder="1" applyAlignment="1" applyProtection="1">
      <alignment horizontal="center" vertical="center"/>
      <protection/>
    </xf>
    <xf numFmtId="3" fontId="51" fillId="34" borderId="13" xfId="0" applyNumberFormat="1" applyFont="1" applyFill="1" applyBorder="1" applyAlignment="1" applyProtection="1">
      <alignment horizontal="center"/>
      <protection/>
    </xf>
    <xf numFmtId="3" fontId="51" fillId="34" borderId="11" xfId="0" applyNumberFormat="1" applyFont="1" applyFill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3" fontId="51" fillId="37" borderId="0" xfId="0" applyNumberFormat="1" applyFont="1" applyFill="1" applyBorder="1" applyAlignment="1" applyProtection="1">
      <alignment horizontal="center" vertical="center" wrapText="1"/>
      <protection/>
    </xf>
    <xf numFmtId="3" fontId="51" fillId="19" borderId="0" xfId="0" applyNumberFormat="1" applyFont="1" applyFill="1" applyBorder="1" applyAlignment="1" applyProtection="1">
      <alignment horizontal="center" vertical="center" wrapText="1"/>
      <protection/>
    </xf>
    <xf numFmtId="3" fontId="55" fillId="46" borderId="19" xfId="0" applyNumberFormat="1" applyFont="1" applyFill="1" applyBorder="1" applyAlignment="1" applyProtection="1">
      <alignment horizontal="center" vertical="center"/>
      <protection/>
    </xf>
    <xf numFmtId="3" fontId="55" fillId="46" borderId="12" xfId="0" applyNumberFormat="1" applyFont="1" applyFill="1" applyBorder="1" applyAlignment="1" applyProtection="1">
      <alignment horizontal="center" vertical="center"/>
      <protection/>
    </xf>
    <xf numFmtId="3" fontId="55" fillId="46" borderId="23" xfId="0" applyNumberFormat="1" applyFont="1" applyFill="1" applyBorder="1" applyAlignment="1" applyProtection="1">
      <alignment horizontal="center" vertical="center"/>
      <protection/>
    </xf>
    <xf numFmtId="3" fontId="55" fillId="36" borderId="10" xfId="0" applyNumberFormat="1" applyFont="1" applyFill="1" applyBorder="1" applyAlignment="1" applyProtection="1">
      <alignment horizontal="center" vertical="center"/>
      <protection locked="0"/>
    </xf>
    <xf numFmtId="3" fontId="55" fillId="35" borderId="19" xfId="0" applyNumberFormat="1" applyFont="1" applyFill="1" applyBorder="1" applyAlignment="1" applyProtection="1">
      <alignment horizontal="center" vertical="center"/>
      <protection/>
    </xf>
    <xf numFmtId="3" fontId="55" fillId="35" borderId="12" xfId="0" applyNumberFormat="1" applyFont="1" applyFill="1" applyBorder="1" applyAlignment="1" applyProtection="1">
      <alignment horizontal="center" vertical="center"/>
      <protection/>
    </xf>
    <xf numFmtId="3" fontId="55" fillId="35" borderId="23" xfId="0" applyNumberFormat="1" applyFont="1" applyFill="1" applyBorder="1" applyAlignment="1" applyProtection="1">
      <alignment horizontal="center" vertical="center"/>
      <protection/>
    </xf>
    <xf numFmtId="3" fontId="55" fillId="35" borderId="10" xfId="0" applyNumberFormat="1" applyFont="1" applyFill="1" applyBorder="1" applyAlignment="1" applyProtection="1">
      <alignment horizontal="center" vertical="center"/>
      <protection/>
    </xf>
    <xf numFmtId="3" fontId="51" fillId="46" borderId="10" xfId="0" applyNumberFormat="1" applyFont="1" applyFill="1" applyBorder="1" applyAlignment="1" applyProtection="1">
      <alignment horizontal="center"/>
      <protection hidden="1"/>
    </xf>
    <xf numFmtId="3" fontId="57" fillId="13" borderId="10" xfId="0" applyNumberFormat="1" applyFont="1" applyFill="1" applyBorder="1" applyAlignment="1" applyProtection="1">
      <alignment horizontal="center" vertical="center" wrapText="1"/>
      <protection hidden="1"/>
    </xf>
    <xf numFmtId="3" fontId="51" fillId="33" borderId="19" xfId="0" applyNumberFormat="1" applyFont="1" applyFill="1" applyBorder="1" applyAlignment="1" applyProtection="1">
      <alignment horizontal="center"/>
      <protection hidden="1"/>
    </xf>
    <xf numFmtId="3" fontId="51" fillId="33" borderId="23" xfId="0" applyNumberFormat="1" applyFont="1" applyFill="1" applyBorder="1" applyAlignment="1" applyProtection="1">
      <alignment horizontal="center"/>
      <protection hidden="1"/>
    </xf>
    <xf numFmtId="0" fontId="52" fillId="35" borderId="10" xfId="0" applyFont="1" applyFill="1" applyBorder="1" applyAlignment="1" applyProtection="1">
      <alignment horizontal="center" vertical="center"/>
      <protection hidden="1"/>
    </xf>
    <xf numFmtId="0" fontId="52" fillId="19" borderId="10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123825</xdr:rowOff>
    </xdr:from>
    <xdr:to>
      <xdr:col>13</xdr:col>
      <xdr:colOff>514350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29600" y="1238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0</xdr:row>
      <xdr:rowOff>142875</xdr:rowOff>
    </xdr:from>
    <xdr:to>
      <xdr:col>2</xdr:col>
      <xdr:colOff>685800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8675" y="1428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1</xdr:row>
      <xdr:rowOff>0</xdr:rowOff>
    </xdr:from>
    <xdr:to>
      <xdr:col>6</xdr:col>
      <xdr:colOff>285750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150"/>
          <a:ext cx="1038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15</xdr:row>
      <xdr:rowOff>38100</xdr:rowOff>
    </xdr:from>
    <xdr:to>
      <xdr:col>6</xdr:col>
      <xdr:colOff>438150</xdr:colOff>
      <xdr:row>15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257675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15</xdr:row>
      <xdr:rowOff>47625</xdr:rowOff>
    </xdr:from>
    <xdr:to>
      <xdr:col>2</xdr:col>
      <xdr:colOff>514350</xdr:colOff>
      <xdr:row>15</xdr:row>
      <xdr:rowOff>276225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67200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13</xdr:row>
      <xdr:rowOff>28575</xdr:rowOff>
    </xdr:from>
    <xdr:to>
      <xdr:col>6</xdr:col>
      <xdr:colOff>581025</xdr:colOff>
      <xdr:row>13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895725"/>
          <a:ext cx="819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13</xdr:row>
      <xdr:rowOff>38100</xdr:rowOff>
    </xdr:from>
    <xdr:to>
      <xdr:col>2</xdr:col>
      <xdr:colOff>561975</xdr:colOff>
      <xdr:row>13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905250"/>
          <a:ext cx="819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</xdr:row>
      <xdr:rowOff>19050</xdr:rowOff>
    </xdr:from>
    <xdr:to>
      <xdr:col>6</xdr:col>
      <xdr:colOff>495300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619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247650</xdr:rowOff>
    </xdr:from>
    <xdr:to>
      <xdr:col>7</xdr:col>
      <xdr:colOff>247650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47650"/>
          <a:ext cx="1190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11</xdr:row>
      <xdr:rowOff>581025</xdr:rowOff>
    </xdr:from>
    <xdr:to>
      <xdr:col>7</xdr:col>
      <xdr:colOff>180975</xdr:colOff>
      <xdr:row>12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321945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590550</xdr:rowOff>
    </xdr:from>
    <xdr:to>
      <xdr:col>2</xdr:col>
      <xdr:colOff>276225</xdr:colOff>
      <xdr:row>13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228975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57150</xdr:rowOff>
    </xdr:from>
    <xdr:to>
      <xdr:col>4</xdr:col>
      <xdr:colOff>609600</xdr:colOff>
      <xdr:row>5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43175" y="60960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247650</xdr:rowOff>
    </xdr:from>
    <xdr:to>
      <xdr:col>8</xdr:col>
      <xdr:colOff>504825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247650"/>
          <a:ext cx="1200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57150</xdr:rowOff>
    </xdr:from>
    <xdr:to>
      <xdr:col>4</xdr:col>
      <xdr:colOff>609600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71725" y="60960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11</xdr:row>
      <xdr:rowOff>28575</xdr:rowOff>
    </xdr:from>
    <xdr:to>
      <xdr:col>2</xdr:col>
      <xdr:colOff>361950</xdr:colOff>
      <xdr:row>11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7813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11</xdr:row>
      <xdr:rowOff>28575</xdr:rowOff>
    </xdr:from>
    <xdr:to>
      <xdr:col>4</xdr:col>
      <xdr:colOff>1047750</xdr:colOff>
      <xdr:row>11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2781300"/>
          <a:ext cx="781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0</xdr:rowOff>
    </xdr:from>
    <xdr:to>
      <xdr:col>4</xdr:col>
      <xdr:colOff>1095375</xdr:colOff>
      <xdr:row>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90500"/>
          <a:ext cx="1038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1323975</xdr:colOff>
      <xdr:row>2</xdr:row>
      <xdr:rowOff>9525</xdr:rowOff>
    </xdr:from>
    <xdr:to>
      <xdr:col>2</xdr:col>
      <xdr:colOff>1885950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57400" y="53340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rightToLeft="1" zoomScale="145" zoomScaleNormal="145" zoomScalePageLayoutView="0" workbookViewId="0" topLeftCell="A1">
      <selection activeCell="G1" sqref="G1:G16384"/>
    </sheetView>
  </sheetViews>
  <sheetFormatPr defaultColWidth="9.140625" defaultRowHeight="15"/>
  <cols>
    <col min="1" max="1" width="23.140625" style="0" bestFit="1" customWidth="1"/>
    <col min="2" max="2" width="10.00390625" style="0" bestFit="1" customWidth="1"/>
    <col min="3" max="3" width="10.57421875" style="0" bestFit="1" customWidth="1"/>
    <col min="4" max="4" width="10.140625" style="0" bestFit="1" customWidth="1"/>
    <col min="5" max="7" width="11.00390625" style="0" bestFit="1" customWidth="1"/>
  </cols>
  <sheetData>
    <row r="1" spans="1:7" ht="21.75">
      <c r="A1" s="149" t="s">
        <v>28</v>
      </c>
      <c r="B1" s="149">
        <v>1397</v>
      </c>
      <c r="C1" s="149">
        <v>1398</v>
      </c>
      <c r="D1" s="149">
        <v>1399</v>
      </c>
      <c r="E1" s="149">
        <v>1400</v>
      </c>
      <c r="F1" s="149">
        <v>1401</v>
      </c>
      <c r="G1" s="149">
        <v>1402</v>
      </c>
    </row>
    <row r="2" spans="1:7" ht="21.75">
      <c r="A2" s="149" t="s">
        <v>78</v>
      </c>
      <c r="B2" s="150">
        <v>370423</v>
      </c>
      <c r="C2" s="150">
        <v>505627.3333333333</v>
      </c>
      <c r="D2" s="151">
        <v>636809</v>
      </c>
      <c r="E2" s="150">
        <v>885164.5</v>
      </c>
      <c r="F2" s="150">
        <v>1393250</v>
      </c>
      <c r="G2" s="150">
        <v>1769428</v>
      </c>
    </row>
    <row r="3" spans="1:7" ht="21.75">
      <c r="A3" s="149" t="s">
        <v>79</v>
      </c>
      <c r="B3" s="150">
        <v>17000</v>
      </c>
      <c r="C3" s="150">
        <v>23333</v>
      </c>
      <c r="D3" s="151">
        <v>33333.333333333336</v>
      </c>
      <c r="E3" s="150">
        <v>46666.666666666664</v>
      </c>
      <c r="F3" s="150">
        <v>70000</v>
      </c>
      <c r="G3" s="150">
        <v>70000</v>
      </c>
    </row>
    <row r="4" spans="1:7" ht="21.75">
      <c r="A4" s="149" t="s">
        <v>80</v>
      </c>
      <c r="B4" s="159">
        <v>0.104</v>
      </c>
      <c r="C4" s="152">
        <v>0.13</v>
      </c>
      <c r="D4" s="153">
        <v>0.15</v>
      </c>
      <c r="E4" s="152">
        <v>0.26</v>
      </c>
      <c r="F4" s="152">
        <v>0.38</v>
      </c>
      <c r="G4" s="152">
        <v>0.21</v>
      </c>
    </row>
    <row r="5" spans="1:7" ht="21.75">
      <c r="A5" s="154" t="s">
        <v>81</v>
      </c>
      <c r="B5" s="150">
        <v>28208</v>
      </c>
      <c r="C5" s="150">
        <v>87049</v>
      </c>
      <c r="D5" s="151">
        <v>55338</v>
      </c>
      <c r="E5" s="150">
        <v>82785</v>
      </c>
      <c r="F5" s="150">
        <v>171722</v>
      </c>
      <c r="G5" s="150">
        <v>83596</v>
      </c>
    </row>
    <row r="6" ht="19.5" customHeight="1"/>
    <row r="7" spans="1:7" ht="19.5" customHeight="1">
      <c r="A7" s="155" t="s">
        <v>82</v>
      </c>
      <c r="B7" s="156">
        <v>370423</v>
      </c>
      <c r="C7" s="156">
        <f>((B7+B8)*(1+C4))+C5</f>
        <v>505626.98999999993</v>
      </c>
      <c r="D7" s="156">
        <f>((C7+C8)*(1+D4))+D5</f>
        <v>663641.9885</v>
      </c>
      <c r="E7" s="156">
        <f>((D7+D8)*(1+E4))+E5</f>
        <v>960973.9055100001</v>
      </c>
      <c r="F7" s="156">
        <f>((E7+E8)*(1+F4))+F5</f>
        <v>1562265.9896038</v>
      </c>
      <c r="G7" s="156">
        <f>((F7+F8)*(1+G4))+G5</f>
        <v>2058637.847420598</v>
      </c>
    </row>
    <row r="8" spans="1:7" ht="19.5" customHeight="1">
      <c r="A8" s="155" t="s">
        <v>83</v>
      </c>
      <c r="B8" s="157">
        <v>0</v>
      </c>
      <c r="C8" s="157">
        <v>23333</v>
      </c>
      <c r="D8" s="157">
        <f>IF(C8&gt;0,D3,0)</f>
        <v>33333.333333333336</v>
      </c>
      <c r="E8" s="157">
        <f>IF(D8&gt;0,E3,0)</f>
        <v>46666.666666666664</v>
      </c>
      <c r="F8" s="157">
        <f>IF(E8&gt;0,F3,0)</f>
        <v>70000</v>
      </c>
      <c r="G8" s="157">
        <f>IF(F8&gt;0,G3,0)</f>
        <v>70000</v>
      </c>
    </row>
    <row r="9" spans="2:7" ht="19.5" customHeight="1">
      <c r="B9" s="158">
        <f aca="true" t="shared" si="0" ref="B9:G9">SUM(B7:B8)</f>
        <v>370423</v>
      </c>
      <c r="C9" s="158">
        <f t="shared" si="0"/>
        <v>528959.99</v>
      </c>
      <c r="D9" s="158">
        <f t="shared" si="0"/>
        <v>696975.3218333333</v>
      </c>
      <c r="E9" s="158">
        <f t="shared" si="0"/>
        <v>1007640.5721766667</v>
      </c>
      <c r="F9" s="158">
        <f t="shared" si="0"/>
        <v>1632265.9896038</v>
      </c>
      <c r="G9" s="158">
        <f t="shared" si="0"/>
        <v>2128637.847420598</v>
      </c>
    </row>
    <row r="10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8"/>
  <sheetViews>
    <sheetView showGridLines="0" rightToLeft="1" zoomScale="85" zoomScaleNormal="85" zoomScalePageLayoutView="0" workbookViewId="0" topLeftCell="A1">
      <pane xSplit="5" ySplit="5" topLeftCell="F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F6" sqref="F6"/>
    </sheetView>
  </sheetViews>
  <sheetFormatPr defaultColWidth="9.140625" defaultRowHeight="15"/>
  <cols>
    <col min="1" max="1" width="2.8515625" style="145" customWidth="1"/>
    <col min="2" max="2" width="6.8515625" style="146" customWidth="1"/>
    <col min="3" max="3" width="10.57421875" style="146" bestFit="1" customWidth="1"/>
    <col min="4" max="4" width="12.421875" style="147" bestFit="1" customWidth="1"/>
    <col min="5" max="5" width="8.421875" style="147" bestFit="1" customWidth="1"/>
    <col min="6" max="6" width="9.421875" style="147" bestFit="1" customWidth="1"/>
    <col min="7" max="7" width="9.140625" style="146" customWidth="1"/>
    <col min="8" max="8" width="10.57421875" style="147" bestFit="1" customWidth="1"/>
    <col min="9" max="11" width="10.57421875" style="147" customWidth="1"/>
    <col min="12" max="13" width="10.7109375" style="147" customWidth="1"/>
    <col min="14" max="14" width="15.140625" style="147" customWidth="1"/>
    <col min="15" max="15" width="11.140625" style="147" bestFit="1" customWidth="1"/>
    <col min="16" max="16" width="11.28125" style="147" bestFit="1" customWidth="1"/>
    <col min="17" max="17" width="15.140625" style="147" customWidth="1"/>
    <col min="18" max="18" width="12.57421875" style="147" customWidth="1"/>
    <col min="19" max="19" width="2.140625" style="145" customWidth="1"/>
    <col min="20" max="20" width="1.7109375" style="145" customWidth="1"/>
    <col min="21" max="16384" width="9.00390625" style="145" customWidth="1"/>
  </cols>
  <sheetData>
    <row r="1" spans="2:18" s="129" customFormat="1" ht="15" customHeight="1">
      <c r="B1" s="130"/>
      <c r="C1" s="130"/>
      <c r="D1" s="131"/>
      <c r="E1" s="131"/>
      <c r="F1" s="131"/>
      <c r="G1" s="13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2:18" s="130" customFormat="1" ht="30.75" customHeight="1">
      <c r="B2" s="132"/>
      <c r="C2" s="177" t="s">
        <v>68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33"/>
      <c r="P2" s="133"/>
      <c r="Q2" s="133"/>
      <c r="R2" s="133"/>
    </row>
    <row r="3" spans="2:20" s="130" customFormat="1" ht="30.75" customHeight="1">
      <c r="B3" s="132"/>
      <c r="C3" s="132"/>
      <c r="D3" s="132"/>
      <c r="E3" s="132"/>
      <c r="F3" s="178" t="s">
        <v>73</v>
      </c>
      <c r="G3" s="178"/>
      <c r="H3" s="178"/>
      <c r="I3" s="148">
        <v>1395</v>
      </c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2:18" s="129" customFormat="1" ht="9.75" customHeight="1">
      <c r="B4" s="130"/>
      <c r="C4" s="130"/>
      <c r="D4" s="131"/>
      <c r="E4" s="131"/>
      <c r="F4" s="131"/>
      <c r="G4" s="130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2:18" s="135" customFormat="1" ht="44.25" customHeight="1">
      <c r="B5" s="136" t="s">
        <v>28</v>
      </c>
      <c r="C5" s="136" t="s">
        <v>35</v>
      </c>
      <c r="D5" s="136" t="s">
        <v>36</v>
      </c>
      <c r="E5" s="136" t="s">
        <v>38</v>
      </c>
      <c r="F5" s="136" t="s">
        <v>39</v>
      </c>
      <c r="G5" s="137" t="s">
        <v>71</v>
      </c>
      <c r="H5" s="136" t="s">
        <v>69</v>
      </c>
      <c r="I5" s="136" t="s">
        <v>37</v>
      </c>
      <c r="J5" s="136" t="s">
        <v>7</v>
      </c>
      <c r="K5" s="136" t="s">
        <v>70</v>
      </c>
      <c r="L5" s="138" t="s">
        <v>35</v>
      </c>
      <c r="M5" s="138" t="s">
        <v>54</v>
      </c>
      <c r="N5" s="138" t="s">
        <v>72</v>
      </c>
      <c r="O5" s="138" t="s">
        <v>74</v>
      </c>
      <c r="P5" s="138" t="s">
        <v>75</v>
      </c>
      <c r="Q5" s="138" t="s">
        <v>76</v>
      </c>
      <c r="R5" s="138" t="s">
        <v>77</v>
      </c>
    </row>
    <row r="6" spans="2:18" s="129" customFormat="1" ht="24" customHeight="1">
      <c r="B6" s="139">
        <v>1380</v>
      </c>
      <c r="C6" s="140">
        <v>18930</v>
      </c>
      <c r="D6" s="140">
        <f>C6*30</f>
        <v>567900</v>
      </c>
      <c r="E6" s="140">
        <v>470</v>
      </c>
      <c r="F6" s="140">
        <f>E6*30</f>
        <v>14100</v>
      </c>
      <c r="G6" s="141">
        <v>5</v>
      </c>
      <c r="H6" s="140">
        <v>2900</v>
      </c>
      <c r="I6" s="140">
        <v>10000</v>
      </c>
      <c r="J6" s="140">
        <v>40000</v>
      </c>
      <c r="K6" s="140">
        <v>1300000</v>
      </c>
      <c r="L6" s="142">
        <f>IF($I$3=$B6,$C6,IF($I$3&lt;=$B6,(L5+M5)*(1+$G6%)+$H6,0))</f>
        <v>0</v>
      </c>
      <c r="M6" s="142">
        <f aca="true" t="shared" si="0" ref="M6:M28">IF(($I$3+1)&lt;=$B6,$E6,0)</f>
        <v>0</v>
      </c>
      <c r="N6" s="143">
        <f>L6+M6</f>
        <v>0</v>
      </c>
      <c r="O6" s="144">
        <f>IF($I$3=$B6,$C6,IF($I$3&lt;=$B6,O5*(1+$G6%)+$H6,0))</f>
        <v>0</v>
      </c>
      <c r="P6" s="144">
        <f>IF(($I$3+1)=$B6,$E6,IF($I$3&lt;$B6,P5*(1+$G6%)+$E6,0))</f>
        <v>0</v>
      </c>
      <c r="Q6" s="143">
        <f>O6+P6</f>
        <v>0</v>
      </c>
      <c r="R6" s="143">
        <f aca="true" t="shared" si="1" ref="R6:R27">N6-Q6</f>
        <v>0</v>
      </c>
    </row>
    <row r="7" spans="2:18" s="129" customFormat="1" ht="24" customHeight="1">
      <c r="B7" s="139">
        <v>1381</v>
      </c>
      <c r="C7" s="140">
        <v>23282</v>
      </c>
      <c r="D7" s="140">
        <f aca="true" t="shared" si="2" ref="D7:D27">C7*30</f>
        <v>698460</v>
      </c>
      <c r="E7" s="140">
        <v>580</v>
      </c>
      <c r="F7" s="140">
        <f>E7*30</f>
        <v>17400</v>
      </c>
      <c r="G7" s="141">
        <v>4.5</v>
      </c>
      <c r="H7" s="140">
        <v>3500</v>
      </c>
      <c r="I7" s="140">
        <v>10000</v>
      </c>
      <c r="J7" s="140">
        <v>40000</v>
      </c>
      <c r="K7" s="140">
        <v>1450000</v>
      </c>
      <c r="L7" s="142">
        <f aca="true" t="shared" si="3" ref="L7:L27">IF($I$3=$B7,$C7,IF($I$3&lt;=$B7,(L6+M6)*(1+$G7%)+$H7,0))</f>
        <v>0</v>
      </c>
      <c r="M7" s="142">
        <f t="shared" si="0"/>
        <v>0</v>
      </c>
      <c r="N7" s="143">
        <f aca="true" t="shared" si="4" ref="N7:N27">L7+M7</f>
        <v>0</v>
      </c>
      <c r="O7" s="144">
        <f aca="true" t="shared" si="5" ref="O7:O28">IF($I$3=$B7,$C7,IF($I$3&lt;=$B7,O6*(1+$G7%)+$H7,0))</f>
        <v>0</v>
      </c>
      <c r="P7" s="144">
        <f aca="true" t="shared" si="6" ref="P7:P28">IF(($I$3+1)=$B7,$E7,IF($I$3&lt;$B7,P6*(1+$G7%)+$E7,0))</f>
        <v>0</v>
      </c>
      <c r="Q7" s="143">
        <f aca="true" t="shared" si="7" ref="Q7:Q27">O7+P7</f>
        <v>0</v>
      </c>
      <c r="R7" s="143">
        <f t="shared" si="1"/>
        <v>0</v>
      </c>
    </row>
    <row r="8" spans="2:18" s="129" customFormat="1" ht="24" customHeight="1">
      <c r="B8" s="139">
        <v>1382</v>
      </c>
      <c r="C8" s="140">
        <v>28446</v>
      </c>
      <c r="D8" s="140">
        <f t="shared" si="2"/>
        <v>853380</v>
      </c>
      <c r="E8" s="140">
        <v>710</v>
      </c>
      <c r="F8" s="140">
        <f>E8*30</f>
        <v>21300</v>
      </c>
      <c r="G8" s="141">
        <v>5</v>
      </c>
      <c r="H8" s="140">
        <v>4000</v>
      </c>
      <c r="I8" s="140">
        <v>10000</v>
      </c>
      <c r="J8" s="140">
        <v>40000</v>
      </c>
      <c r="K8" s="140">
        <v>1600000</v>
      </c>
      <c r="L8" s="142">
        <f t="shared" si="3"/>
        <v>0</v>
      </c>
      <c r="M8" s="142">
        <f t="shared" si="0"/>
        <v>0</v>
      </c>
      <c r="N8" s="143">
        <f t="shared" si="4"/>
        <v>0</v>
      </c>
      <c r="O8" s="144">
        <f t="shared" si="5"/>
        <v>0</v>
      </c>
      <c r="P8" s="144">
        <f t="shared" si="6"/>
        <v>0</v>
      </c>
      <c r="Q8" s="143">
        <f t="shared" si="7"/>
        <v>0</v>
      </c>
      <c r="R8" s="143">
        <f t="shared" si="1"/>
        <v>0</v>
      </c>
    </row>
    <row r="9" spans="2:18" s="129" customFormat="1" ht="24" customHeight="1">
      <c r="B9" s="139">
        <v>1383</v>
      </c>
      <c r="C9" s="140">
        <v>35534</v>
      </c>
      <c r="D9" s="140">
        <f t="shared" si="2"/>
        <v>1066020</v>
      </c>
      <c r="E9" s="140">
        <v>900</v>
      </c>
      <c r="F9" s="140">
        <f>E9*30</f>
        <v>27000</v>
      </c>
      <c r="G9" s="141">
        <v>0</v>
      </c>
      <c r="H9" s="140">
        <v>7088</v>
      </c>
      <c r="I9" s="140">
        <v>20000</v>
      </c>
      <c r="J9" s="140">
        <v>60000</v>
      </c>
      <c r="K9" s="140">
        <v>1750000</v>
      </c>
      <c r="L9" s="142">
        <f t="shared" si="3"/>
        <v>0</v>
      </c>
      <c r="M9" s="142">
        <f t="shared" si="0"/>
        <v>0</v>
      </c>
      <c r="N9" s="143">
        <f t="shared" si="4"/>
        <v>0</v>
      </c>
      <c r="O9" s="144">
        <f t="shared" si="5"/>
        <v>0</v>
      </c>
      <c r="P9" s="144">
        <f t="shared" si="6"/>
        <v>0</v>
      </c>
      <c r="Q9" s="143">
        <f t="shared" si="7"/>
        <v>0</v>
      </c>
      <c r="R9" s="143">
        <f t="shared" si="1"/>
        <v>0</v>
      </c>
    </row>
    <row r="10" spans="2:18" s="129" customFormat="1" ht="24" customHeight="1">
      <c r="B10" s="139">
        <v>1384</v>
      </c>
      <c r="C10" s="140">
        <v>40864</v>
      </c>
      <c r="D10" s="140">
        <f t="shared" si="2"/>
        <v>1225920</v>
      </c>
      <c r="E10" s="140">
        <v>1020</v>
      </c>
      <c r="F10" s="140">
        <f>E10*30</f>
        <v>30600</v>
      </c>
      <c r="G10" s="141">
        <v>0</v>
      </c>
      <c r="H10" s="140">
        <v>5330</v>
      </c>
      <c r="I10" s="140">
        <v>40000</v>
      </c>
      <c r="J10" s="140">
        <v>100000</v>
      </c>
      <c r="K10" s="140">
        <v>1900000</v>
      </c>
      <c r="L10" s="142">
        <f t="shared" si="3"/>
        <v>0</v>
      </c>
      <c r="M10" s="142">
        <f t="shared" si="0"/>
        <v>0</v>
      </c>
      <c r="N10" s="143">
        <f t="shared" si="4"/>
        <v>0</v>
      </c>
      <c r="O10" s="144">
        <f t="shared" si="5"/>
        <v>0</v>
      </c>
      <c r="P10" s="144">
        <f t="shared" si="6"/>
        <v>0</v>
      </c>
      <c r="Q10" s="143">
        <f t="shared" si="7"/>
        <v>0</v>
      </c>
      <c r="R10" s="143">
        <f t="shared" si="1"/>
        <v>0</v>
      </c>
    </row>
    <row r="11" spans="2:18" s="129" customFormat="1" ht="24" customHeight="1">
      <c r="B11" s="139">
        <v>1385</v>
      </c>
      <c r="C11" s="140">
        <v>50000</v>
      </c>
      <c r="D11" s="140">
        <f t="shared" si="2"/>
        <v>1500000</v>
      </c>
      <c r="E11" s="140">
        <v>1250</v>
      </c>
      <c r="F11" s="140">
        <f aca="true" t="shared" si="8" ref="F11:F23">E11*30</f>
        <v>37500</v>
      </c>
      <c r="G11" s="141">
        <v>10</v>
      </c>
      <c r="H11" s="140">
        <v>5050</v>
      </c>
      <c r="I11" s="140">
        <v>100000</v>
      </c>
      <c r="J11" s="140">
        <v>100000</v>
      </c>
      <c r="K11" s="140">
        <v>2160000</v>
      </c>
      <c r="L11" s="142">
        <f t="shared" si="3"/>
        <v>0</v>
      </c>
      <c r="M11" s="142">
        <f t="shared" si="0"/>
        <v>0</v>
      </c>
      <c r="N11" s="143">
        <f t="shared" si="4"/>
        <v>0</v>
      </c>
      <c r="O11" s="144">
        <f t="shared" si="5"/>
        <v>0</v>
      </c>
      <c r="P11" s="144">
        <f t="shared" si="6"/>
        <v>0</v>
      </c>
      <c r="Q11" s="143">
        <f t="shared" si="7"/>
        <v>0</v>
      </c>
      <c r="R11" s="143">
        <f t="shared" si="1"/>
        <v>0</v>
      </c>
    </row>
    <row r="12" spans="2:18" s="129" customFormat="1" ht="24" customHeight="1">
      <c r="B12" s="139">
        <v>1386</v>
      </c>
      <c r="C12" s="140">
        <v>61000</v>
      </c>
      <c r="D12" s="140">
        <f t="shared" si="2"/>
        <v>1830000</v>
      </c>
      <c r="E12" s="140">
        <v>1250</v>
      </c>
      <c r="F12" s="140">
        <f t="shared" si="8"/>
        <v>37500</v>
      </c>
      <c r="G12" s="141">
        <v>10</v>
      </c>
      <c r="H12" s="140">
        <v>6000</v>
      </c>
      <c r="I12" s="140">
        <v>100000</v>
      </c>
      <c r="J12" s="140">
        <v>100000</v>
      </c>
      <c r="K12" s="140">
        <v>2270000</v>
      </c>
      <c r="L12" s="142">
        <f t="shared" si="3"/>
        <v>0</v>
      </c>
      <c r="M12" s="142">
        <f t="shared" si="0"/>
        <v>0</v>
      </c>
      <c r="N12" s="143">
        <f t="shared" si="4"/>
        <v>0</v>
      </c>
      <c r="O12" s="144">
        <f t="shared" si="5"/>
        <v>0</v>
      </c>
      <c r="P12" s="144">
        <f t="shared" si="6"/>
        <v>0</v>
      </c>
      <c r="Q12" s="143">
        <f t="shared" si="7"/>
        <v>0</v>
      </c>
      <c r="R12" s="143">
        <f t="shared" si="1"/>
        <v>0</v>
      </c>
    </row>
    <row r="13" spans="2:18" s="129" customFormat="1" ht="24.75" customHeight="1">
      <c r="B13" s="139">
        <v>1387</v>
      </c>
      <c r="C13" s="140">
        <v>73200</v>
      </c>
      <c r="D13" s="140">
        <f t="shared" si="2"/>
        <v>2196000</v>
      </c>
      <c r="E13" s="140">
        <v>1250</v>
      </c>
      <c r="F13" s="140">
        <f t="shared" si="8"/>
        <v>37500</v>
      </c>
      <c r="G13" s="141">
        <v>5</v>
      </c>
      <c r="H13" s="140">
        <v>9150</v>
      </c>
      <c r="I13" s="140">
        <v>100000</v>
      </c>
      <c r="J13" s="140">
        <v>100000</v>
      </c>
      <c r="K13" s="140">
        <v>2450000</v>
      </c>
      <c r="L13" s="142">
        <f t="shared" si="3"/>
        <v>0</v>
      </c>
      <c r="M13" s="142">
        <f t="shared" si="0"/>
        <v>0</v>
      </c>
      <c r="N13" s="143">
        <f t="shared" si="4"/>
        <v>0</v>
      </c>
      <c r="O13" s="144">
        <f t="shared" si="5"/>
        <v>0</v>
      </c>
      <c r="P13" s="144">
        <f t="shared" si="6"/>
        <v>0</v>
      </c>
      <c r="Q13" s="143">
        <f t="shared" si="7"/>
        <v>0</v>
      </c>
      <c r="R13" s="143">
        <f t="shared" si="1"/>
        <v>0</v>
      </c>
    </row>
    <row r="14" spans="2:18" s="129" customFormat="1" ht="24.75" customHeight="1">
      <c r="B14" s="139">
        <v>1388</v>
      </c>
      <c r="C14" s="140">
        <v>87840</v>
      </c>
      <c r="D14" s="140">
        <f t="shared" si="2"/>
        <v>2635200</v>
      </c>
      <c r="E14" s="140">
        <v>1250</v>
      </c>
      <c r="F14" s="140">
        <f t="shared" si="8"/>
        <v>37500</v>
      </c>
      <c r="G14" s="141">
        <v>5</v>
      </c>
      <c r="H14" s="140">
        <v>10980</v>
      </c>
      <c r="I14" s="140">
        <v>100000</v>
      </c>
      <c r="J14" s="140">
        <v>100000</v>
      </c>
      <c r="K14" s="140">
        <v>4166000</v>
      </c>
      <c r="L14" s="142">
        <f t="shared" si="3"/>
        <v>0</v>
      </c>
      <c r="M14" s="142">
        <f t="shared" si="0"/>
        <v>0</v>
      </c>
      <c r="N14" s="143">
        <f t="shared" si="4"/>
        <v>0</v>
      </c>
      <c r="O14" s="144">
        <f t="shared" si="5"/>
        <v>0</v>
      </c>
      <c r="P14" s="144">
        <f t="shared" si="6"/>
        <v>0</v>
      </c>
      <c r="Q14" s="143">
        <f t="shared" si="7"/>
        <v>0</v>
      </c>
      <c r="R14" s="143">
        <f t="shared" si="1"/>
        <v>0</v>
      </c>
    </row>
    <row r="15" spans="2:18" s="129" customFormat="1" ht="24.75" customHeight="1">
      <c r="B15" s="139">
        <v>1389</v>
      </c>
      <c r="C15" s="140">
        <v>101000</v>
      </c>
      <c r="D15" s="140">
        <f t="shared" si="2"/>
        <v>3030000</v>
      </c>
      <c r="E15" s="140">
        <v>2000</v>
      </c>
      <c r="F15" s="140">
        <f t="shared" si="8"/>
        <v>60000</v>
      </c>
      <c r="G15" s="141">
        <v>7</v>
      </c>
      <c r="H15" s="140">
        <v>7011</v>
      </c>
      <c r="I15" s="140">
        <v>200000</v>
      </c>
      <c r="J15" s="140">
        <v>100000</v>
      </c>
      <c r="K15" s="140">
        <v>4375000</v>
      </c>
      <c r="L15" s="142">
        <f t="shared" si="3"/>
        <v>0</v>
      </c>
      <c r="M15" s="142">
        <f t="shared" si="0"/>
        <v>0</v>
      </c>
      <c r="N15" s="143">
        <f t="shared" si="4"/>
        <v>0</v>
      </c>
      <c r="O15" s="144">
        <f t="shared" si="5"/>
        <v>0</v>
      </c>
      <c r="P15" s="144">
        <f t="shared" si="6"/>
        <v>0</v>
      </c>
      <c r="Q15" s="143">
        <f t="shared" si="7"/>
        <v>0</v>
      </c>
      <c r="R15" s="143">
        <f t="shared" si="1"/>
        <v>0</v>
      </c>
    </row>
    <row r="16" spans="2:18" s="129" customFormat="1" ht="24.75" customHeight="1">
      <c r="B16" s="139">
        <v>1390</v>
      </c>
      <c r="C16" s="140">
        <v>110100</v>
      </c>
      <c r="D16" s="140">
        <f t="shared" si="2"/>
        <v>3303000</v>
      </c>
      <c r="E16" s="140">
        <v>2000</v>
      </c>
      <c r="F16" s="140">
        <f t="shared" si="8"/>
        <v>60000</v>
      </c>
      <c r="G16" s="141">
        <v>6</v>
      </c>
      <c r="H16" s="140">
        <v>3040</v>
      </c>
      <c r="I16" s="140">
        <v>280000</v>
      </c>
      <c r="J16" s="140">
        <v>100000</v>
      </c>
      <c r="K16" s="140">
        <v>4850000</v>
      </c>
      <c r="L16" s="142">
        <f t="shared" si="3"/>
        <v>0</v>
      </c>
      <c r="M16" s="142">
        <f t="shared" si="0"/>
        <v>0</v>
      </c>
      <c r="N16" s="143">
        <f t="shared" si="4"/>
        <v>0</v>
      </c>
      <c r="O16" s="144">
        <f t="shared" si="5"/>
        <v>0</v>
      </c>
      <c r="P16" s="144">
        <f t="shared" si="6"/>
        <v>0</v>
      </c>
      <c r="Q16" s="143">
        <f t="shared" si="7"/>
        <v>0</v>
      </c>
      <c r="R16" s="143">
        <f t="shared" si="1"/>
        <v>0</v>
      </c>
    </row>
    <row r="17" spans="2:18" s="129" customFormat="1" ht="24.75" customHeight="1">
      <c r="B17" s="139">
        <v>1391</v>
      </c>
      <c r="C17" s="140">
        <v>129900</v>
      </c>
      <c r="D17" s="140">
        <f t="shared" si="2"/>
        <v>3897000</v>
      </c>
      <c r="E17" s="140">
        <v>2500</v>
      </c>
      <c r="F17" s="140">
        <f t="shared" si="8"/>
        <v>75000</v>
      </c>
      <c r="G17" s="141">
        <v>7</v>
      </c>
      <c r="H17" s="140">
        <v>12093</v>
      </c>
      <c r="I17" s="140">
        <v>350000</v>
      </c>
      <c r="J17" s="140">
        <v>100000</v>
      </c>
      <c r="K17" s="140">
        <v>5500000</v>
      </c>
      <c r="L17" s="142">
        <f t="shared" si="3"/>
        <v>0</v>
      </c>
      <c r="M17" s="142">
        <f t="shared" si="0"/>
        <v>0</v>
      </c>
      <c r="N17" s="143">
        <f t="shared" si="4"/>
        <v>0</v>
      </c>
      <c r="O17" s="144">
        <f t="shared" si="5"/>
        <v>0</v>
      </c>
      <c r="P17" s="144">
        <f t="shared" si="6"/>
        <v>0</v>
      </c>
      <c r="Q17" s="143">
        <f t="shared" si="7"/>
        <v>0</v>
      </c>
      <c r="R17" s="143">
        <f t="shared" si="1"/>
        <v>0</v>
      </c>
    </row>
    <row r="18" spans="2:18" s="129" customFormat="1" ht="24.75" customHeight="1">
      <c r="B18" s="139">
        <v>1392</v>
      </c>
      <c r="C18" s="140">
        <v>162375</v>
      </c>
      <c r="D18" s="140">
        <f t="shared" si="2"/>
        <v>4871250</v>
      </c>
      <c r="E18" s="140">
        <v>3000</v>
      </c>
      <c r="F18" s="140">
        <f t="shared" si="8"/>
        <v>90000</v>
      </c>
      <c r="G18" s="141">
        <v>10</v>
      </c>
      <c r="H18" s="140">
        <v>19485</v>
      </c>
      <c r="I18" s="140">
        <v>350000</v>
      </c>
      <c r="J18" s="140">
        <v>100000</v>
      </c>
      <c r="K18" s="140">
        <v>8330000</v>
      </c>
      <c r="L18" s="142">
        <f t="shared" si="3"/>
        <v>0</v>
      </c>
      <c r="M18" s="142">
        <f t="shared" si="0"/>
        <v>0</v>
      </c>
      <c r="N18" s="143">
        <f t="shared" si="4"/>
        <v>0</v>
      </c>
      <c r="O18" s="144">
        <f t="shared" si="5"/>
        <v>0</v>
      </c>
      <c r="P18" s="144">
        <f t="shared" si="6"/>
        <v>0</v>
      </c>
      <c r="Q18" s="143">
        <f t="shared" si="7"/>
        <v>0</v>
      </c>
      <c r="R18" s="143">
        <f t="shared" si="1"/>
        <v>0</v>
      </c>
    </row>
    <row r="19" spans="2:18" s="129" customFormat="1" ht="24.75" customHeight="1">
      <c r="B19" s="139">
        <v>1393</v>
      </c>
      <c r="C19" s="140">
        <v>202970</v>
      </c>
      <c r="D19" s="140">
        <f t="shared" si="2"/>
        <v>6089100</v>
      </c>
      <c r="E19" s="140">
        <v>5000</v>
      </c>
      <c r="F19" s="140">
        <f t="shared" si="8"/>
        <v>150000</v>
      </c>
      <c r="G19" s="141">
        <v>12</v>
      </c>
      <c r="H19" s="140">
        <v>21110</v>
      </c>
      <c r="I19" s="140">
        <v>800000</v>
      </c>
      <c r="J19" s="140">
        <v>200000</v>
      </c>
      <c r="K19" s="140">
        <v>10000000</v>
      </c>
      <c r="L19" s="142">
        <f t="shared" si="3"/>
        <v>0</v>
      </c>
      <c r="M19" s="142">
        <f t="shared" si="0"/>
        <v>0</v>
      </c>
      <c r="N19" s="143">
        <f t="shared" si="4"/>
        <v>0</v>
      </c>
      <c r="O19" s="144">
        <f t="shared" si="5"/>
        <v>0</v>
      </c>
      <c r="P19" s="144">
        <f t="shared" si="6"/>
        <v>0</v>
      </c>
      <c r="Q19" s="143">
        <f t="shared" si="7"/>
        <v>0</v>
      </c>
      <c r="R19" s="143">
        <f t="shared" si="1"/>
        <v>0</v>
      </c>
    </row>
    <row r="20" spans="2:18" s="129" customFormat="1" ht="24.75" customHeight="1">
      <c r="B20" s="139">
        <v>1394</v>
      </c>
      <c r="C20" s="140">
        <v>237475</v>
      </c>
      <c r="D20" s="140">
        <f t="shared" si="2"/>
        <v>7124250</v>
      </c>
      <c r="E20" s="140">
        <v>10000</v>
      </c>
      <c r="F20" s="140">
        <f t="shared" si="8"/>
        <v>300000</v>
      </c>
      <c r="G20" s="141">
        <v>17</v>
      </c>
      <c r="H20" s="140">
        <v>0</v>
      </c>
      <c r="I20" s="140">
        <v>1100000</v>
      </c>
      <c r="J20" s="140">
        <v>200000</v>
      </c>
      <c r="K20" s="140">
        <v>11500000</v>
      </c>
      <c r="L20" s="142">
        <f t="shared" si="3"/>
        <v>0</v>
      </c>
      <c r="M20" s="142">
        <f t="shared" si="0"/>
        <v>0</v>
      </c>
      <c r="N20" s="143">
        <f t="shared" si="4"/>
        <v>0</v>
      </c>
      <c r="O20" s="144">
        <f t="shared" si="5"/>
        <v>0</v>
      </c>
      <c r="P20" s="144">
        <f t="shared" si="6"/>
        <v>0</v>
      </c>
      <c r="Q20" s="143">
        <f t="shared" si="7"/>
        <v>0</v>
      </c>
      <c r="R20" s="143">
        <f t="shared" si="1"/>
        <v>0</v>
      </c>
    </row>
    <row r="21" spans="2:18" s="129" customFormat="1" ht="24.75" customHeight="1">
      <c r="B21" s="139">
        <v>1395</v>
      </c>
      <c r="C21" s="140">
        <v>270722</v>
      </c>
      <c r="D21" s="140">
        <f t="shared" si="2"/>
        <v>8121660</v>
      </c>
      <c r="E21" s="140">
        <v>10000</v>
      </c>
      <c r="F21" s="140">
        <f t="shared" si="8"/>
        <v>300000</v>
      </c>
      <c r="G21" s="141">
        <v>14</v>
      </c>
      <c r="H21" s="140">
        <v>0</v>
      </c>
      <c r="I21" s="140">
        <v>1100000</v>
      </c>
      <c r="J21" s="140">
        <v>400000</v>
      </c>
      <c r="K21" s="140">
        <v>13000000</v>
      </c>
      <c r="L21" s="142">
        <f t="shared" si="3"/>
        <v>270722</v>
      </c>
      <c r="M21" s="142">
        <f t="shared" si="0"/>
        <v>0</v>
      </c>
      <c r="N21" s="143">
        <f t="shared" si="4"/>
        <v>270722</v>
      </c>
      <c r="O21" s="144">
        <f t="shared" si="5"/>
        <v>270722</v>
      </c>
      <c r="P21" s="144">
        <f t="shared" si="6"/>
        <v>0</v>
      </c>
      <c r="Q21" s="143">
        <f t="shared" si="7"/>
        <v>270722</v>
      </c>
      <c r="R21" s="143">
        <f t="shared" si="1"/>
        <v>0</v>
      </c>
    </row>
    <row r="22" spans="2:18" s="129" customFormat="1" ht="24.75" customHeight="1">
      <c r="B22" s="139">
        <v>1396</v>
      </c>
      <c r="C22" s="140">
        <v>309977</v>
      </c>
      <c r="D22" s="140">
        <f t="shared" si="2"/>
        <v>9299310</v>
      </c>
      <c r="E22" s="140">
        <v>17000</v>
      </c>
      <c r="F22" s="140">
        <f t="shared" si="8"/>
        <v>510000</v>
      </c>
      <c r="G22" s="141">
        <v>12</v>
      </c>
      <c r="H22" s="140">
        <v>6768</v>
      </c>
      <c r="I22" s="140">
        <v>1100000</v>
      </c>
      <c r="J22" s="140">
        <v>400000</v>
      </c>
      <c r="K22" s="140">
        <v>20000000</v>
      </c>
      <c r="L22" s="142">
        <f t="shared" si="3"/>
        <v>309976.64</v>
      </c>
      <c r="M22" s="142">
        <f t="shared" si="0"/>
        <v>17000</v>
      </c>
      <c r="N22" s="143">
        <f t="shared" si="4"/>
        <v>326976.64</v>
      </c>
      <c r="O22" s="144">
        <f t="shared" si="5"/>
        <v>309976.64</v>
      </c>
      <c r="P22" s="144">
        <f t="shared" si="6"/>
        <v>17000</v>
      </c>
      <c r="Q22" s="143">
        <f t="shared" si="7"/>
        <v>326976.64</v>
      </c>
      <c r="R22" s="143">
        <f t="shared" si="1"/>
        <v>0</v>
      </c>
    </row>
    <row r="23" spans="2:18" s="129" customFormat="1" ht="24.75" customHeight="1">
      <c r="B23" s="139">
        <v>1397</v>
      </c>
      <c r="C23" s="140">
        <v>370423</v>
      </c>
      <c r="D23" s="140">
        <f t="shared" si="2"/>
        <v>11112690</v>
      </c>
      <c r="E23" s="140">
        <v>17000</v>
      </c>
      <c r="F23" s="140">
        <f t="shared" si="8"/>
        <v>510000</v>
      </c>
      <c r="G23" s="141">
        <v>10.4</v>
      </c>
      <c r="H23" s="140">
        <v>28208</v>
      </c>
      <c r="I23" s="140">
        <v>1100000</v>
      </c>
      <c r="J23" s="140">
        <v>400000</v>
      </c>
      <c r="K23" s="140">
        <v>23000000</v>
      </c>
      <c r="L23" s="142">
        <f t="shared" si="3"/>
        <v>389190.21056000004</v>
      </c>
      <c r="M23" s="142">
        <f t="shared" si="0"/>
        <v>17000</v>
      </c>
      <c r="N23" s="143">
        <f t="shared" si="4"/>
        <v>406190.21056000004</v>
      </c>
      <c r="O23" s="144">
        <f t="shared" si="5"/>
        <v>370422.21056000004</v>
      </c>
      <c r="P23" s="144">
        <f t="shared" si="6"/>
        <v>35768</v>
      </c>
      <c r="Q23" s="143">
        <f t="shared" si="7"/>
        <v>406190.21056000004</v>
      </c>
      <c r="R23" s="143">
        <f t="shared" si="1"/>
        <v>0</v>
      </c>
    </row>
    <row r="24" spans="2:18" s="129" customFormat="1" ht="24.75" customHeight="1">
      <c r="B24" s="139">
        <v>1398</v>
      </c>
      <c r="C24" s="140">
        <v>505627.3333333333</v>
      </c>
      <c r="D24" s="140">
        <f t="shared" si="2"/>
        <v>15168820</v>
      </c>
      <c r="E24" s="140">
        <v>23333</v>
      </c>
      <c r="F24" s="140">
        <v>700000</v>
      </c>
      <c r="G24" s="141">
        <v>13</v>
      </c>
      <c r="H24" s="140">
        <v>87049</v>
      </c>
      <c r="I24" s="140">
        <v>1900000</v>
      </c>
      <c r="J24" s="140">
        <v>1000000</v>
      </c>
      <c r="K24" s="140">
        <v>27500000</v>
      </c>
      <c r="L24" s="142">
        <f t="shared" si="3"/>
        <v>546043.9379328</v>
      </c>
      <c r="M24" s="142">
        <f t="shared" si="0"/>
        <v>23333</v>
      </c>
      <c r="N24" s="143">
        <f t="shared" si="4"/>
        <v>569376.9379328</v>
      </c>
      <c r="O24" s="144">
        <f t="shared" si="5"/>
        <v>505626.0979328</v>
      </c>
      <c r="P24" s="144">
        <f t="shared" si="6"/>
        <v>63750.84</v>
      </c>
      <c r="Q24" s="143">
        <f t="shared" si="7"/>
        <v>569376.9379328</v>
      </c>
      <c r="R24" s="143">
        <f t="shared" si="1"/>
        <v>0</v>
      </c>
    </row>
    <row r="25" spans="2:18" s="129" customFormat="1" ht="24.75" customHeight="1">
      <c r="B25" s="139">
        <v>1399</v>
      </c>
      <c r="C25" s="140">
        <v>636809</v>
      </c>
      <c r="D25" s="140">
        <f t="shared" si="2"/>
        <v>19104270</v>
      </c>
      <c r="E25" s="140">
        <f>F25/30</f>
        <v>33333.333333333336</v>
      </c>
      <c r="F25" s="140">
        <v>1000000</v>
      </c>
      <c r="G25" s="141">
        <v>15</v>
      </c>
      <c r="H25" s="140">
        <v>55338</v>
      </c>
      <c r="I25" s="140">
        <v>4000000</v>
      </c>
      <c r="J25" s="140">
        <v>3000000</v>
      </c>
      <c r="K25" s="140">
        <v>30000000</v>
      </c>
      <c r="L25" s="142">
        <f t="shared" si="3"/>
        <v>710121.47862272</v>
      </c>
      <c r="M25" s="142">
        <f t="shared" si="0"/>
        <v>33333.333333333336</v>
      </c>
      <c r="N25" s="143">
        <f t="shared" si="4"/>
        <v>743454.8119560534</v>
      </c>
      <c r="O25" s="144">
        <f t="shared" si="5"/>
        <v>636808.01262272</v>
      </c>
      <c r="P25" s="144">
        <f t="shared" si="6"/>
        <v>106646.79933333333</v>
      </c>
      <c r="Q25" s="143">
        <f t="shared" si="7"/>
        <v>743454.8119560534</v>
      </c>
      <c r="R25" s="143">
        <f t="shared" si="1"/>
        <v>0</v>
      </c>
    </row>
    <row r="26" spans="2:18" s="129" customFormat="1" ht="24.75" customHeight="1">
      <c r="B26" s="139">
        <v>1400</v>
      </c>
      <c r="C26" s="140">
        <v>885164.5</v>
      </c>
      <c r="D26" s="140">
        <f t="shared" si="2"/>
        <v>26554935</v>
      </c>
      <c r="E26" s="140">
        <f>F26/30</f>
        <v>46666.666666666664</v>
      </c>
      <c r="F26" s="140">
        <v>1400000</v>
      </c>
      <c r="G26" s="141">
        <v>26</v>
      </c>
      <c r="H26" s="140">
        <v>82785</v>
      </c>
      <c r="I26" s="140">
        <v>6000000</v>
      </c>
      <c r="J26" s="140">
        <v>4500000</v>
      </c>
      <c r="K26" s="140">
        <v>40000000</v>
      </c>
      <c r="L26" s="142">
        <f t="shared" si="3"/>
        <v>1019538.0630646272</v>
      </c>
      <c r="M26" s="142">
        <f t="shared" si="0"/>
        <v>46666.666666666664</v>
      </c>
      <c r="N26" s="143">
        <f t="shared" si="4"/>
        <v>1066204.7297312939</v>
      </c>
      <c r="O26" s="144">
        <f t="shared" si="5"/>
        <v>885163.0959046272</v>
      </c>
      <c r="P26" s="144">
        <f t="shared" si="6"/>
        <v>181041.63382666666</v>
      </c>
      <c r="Q26" s="143">
        <f t="shared" si="7"/>
        <v>1066204.7297312939</v>
      </c>
      <c r="R26" s="143">
        <f t="shared" si="1"/>
        <v>0</v>
      </c>
    </row>
    <row r="27" spans="2:18" s="129" customFormat="1" ht="24.75" customHeight="1">
      <c r="B27" s="139">
        <v>1401</v>
      </c>
      <c r="C27" s="140">
        <v>1393250</v>
      </c>
      <c r="D27" s="140">
        <f t="shared" si="2"/>
        <v>41797500</v>
      </c>
      <c r="E27" s="140">
        <f>F27/30</f>
        <v>70000</v>
      </c>
      <c r="F27" s="140">
        <v>2100000</v>
      </c>
      <c r="G27" s="141">
        <v>38</v>
      </c>
      <c r="H27" s="140">
        <v>171722</v>
      </c>
      <c r="I27" s="140">
        <v>8500000</v>
      </c>
      <c r="J27" s="140">
        <v>5500000</v>
      </c>
      <c r="K27" s="140">
        <v>56000000</v>
      </c>
      <c r="L27" s="142">
        <f t="shared" si="3"/>
        <v>1643084.5270291853</v>
      </c>
      <c r="M27" s="142">
        <f t="shared" si="0"/>
        <v>70000</v>
      </c>
      <c r="N27" s="143">
        <f t="shared" si="4"/>
        <v>1713084.5270291853</v>
      </c>
      <c r="O27" s="144">
        <f t="shared" si="5"/>
        <v>1393247.0723483856</v>
      </c>
      <c r="P27" s="144">
        <f t="shared" si="6"/>
        <v>319837.4546808</v>
      </c>
      <c r="Q27" s="143">
        <f t="shared" si="7"/>
        <v>1713084.5270291856</v>
      </c>
      <c r="R27" s="143">
        <f t="shared" si="1"/>
        <v>0</v>
      </c>
    </row>
    <row r="28" spans="2:18" s="129" customFormat="1" ht="24.75" customHeight="1">
      <c r="B28" s="139">
        <v>1402</v>
      </c>
      <c r="C28" s="140">
        <v>1769428</v>
      </c>
      <c r="D28" s="140">
        <f>C28*30</f>
        <v>53082840</v>
      </c>
      <c r="E28" s="140">
        <f>F28/30</f>
        <v>70000</v>
      </c>
      <c r="F28" s="140">
        <v>2100000</v>
      </c>
      <c r="G28" s="141">
        <v>21</v>
      </c>
      <c r="H28" s="140">
        <v>83596</v>
      </c>
      <c r="I28" s="140">
        <v>11000000</v>
      </c>
      <c r="J28" s="140">
        <v>9000000</v>
      </c>
      <c r="K28" s="140">
        <v>100000000</v>
      </c>
      <c r="L28" s="142">
        <f>IF($I$3=$B28,$C28,IF($I$3&lt;=$B28,(L27+M27)*(1+$G28%)+$H28,0))</f>
        <v>2156428.277705314</v>
      </c>
      <c r="M28" s="142">
        <f t="shared" si="0"/>
        <v>70000</v>
      </c>
      <c r="N28" s="143">
        <f>L28+M28</f>
        <v>2226428.277705314</v>
      </c>
      <c r="O28" s="144">
        <f t="shared" si="5"/>
        <v>1769424.9575415466</v>
      </c>
      <c r="P28" s="144">
        <f t="shared" si="6"/>
        <v>457003.32016376796</v>
      </c>
      <c r="Q28" s="143">
        <f>O28+P28</f>
        <v>2226428.2777053146</v>
      </c>
      <c r="R28" s="143">
        <f>N28-Q28</f>
        <v>0</v>
      </c>
    </row>
    <row r="30" ht="10.5" customHeight="1"/>
  </sheetData>
  <sheetProtection password="A60D" sheet="1" formatCells="0" formatColumns="0" formatRows="0" autoFilter="0" pivotTables="0"/>
  <mergeCells count="2">
    <mergeCell ref="C2:N2"/>
    <mergeCell ref="F3:H3"/>
  </mergeCells>
  <dataValidations count="1">
    <dataValidation type="list" allowBlank="1" showInputMessage="1" showErrorMessage="1" sqref="I3">
      <formula1>$B$6:$B$27</formula1>
    </dataValidation>
  </dataValidation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0"/>
  <sheetViews>
    <sheetView rightToLeft="1" zoomScale="90" zoomScaleNormal="90" zoomScalePageLayoutView="0" workbookViewId="0" topLeftCell="A11">
      <selection activeCell="B19" sqref="B19:C19"/>
    </sheetView>
  </sheetViews>
  <sheetFormatPr defaultColWidth="9.140625" defaultRowHeight="15"/>
  <cols>
    <col min="1" max="1" width="3.28125" style="14" customWidth="1"/>
    <col min="2" max="2" width="6.421875" style="14" customWidth="1"/>
    <col min="3" max="3" width="21.00390625" style="19" customWidth="1"/>
    <col min="4" max="4" width="13.421875" style="69" customWidth="1"/>
    <col min="5" max="5" width="12.421875" style="19" customWidth="1"/>
    <col min="6" max="6" width="14.57421875" style="39" customWidth="1"/>
    <col min="7" max="7" width="13.140625" style="39" customWidth="1"/>
    <col min="8" max="8" width="1.28515625" style="19" customWidth="1"/>
    <col min="9" max="11" width="13.7109375" style="19" customWidth="1"/>
    <col min="12" max="13" width="9.140625" style="19" customWidth="1"/>
    <col min="14" max="14" width="13.7109375" style="13" customWidth="1"/>
    <col min="15" max="15" width="12.7109375" style="13" customWidth="1"/>
    <col min="16" max="16" width="15.421875" style="13" customWidth="1"/>
    <col min="17" max="18" width="13.7109375" style="14" customWidth="1"/>
    <col min="19" max="16384" width="9.00390625" style="14" customWidth="1"/>
  </cols>
  <sheetData>
    <row r="1" ht="4.5" customHeight="1"/>
    <row r="2" spans="2:16" s="19" customFormat="1" ht="26.25" customHeight="1">
      <c r="B2" s="12"/>
      <c r="C2" s="179" t="s">
        <v>84</v>
      </c>
      <c r="D2" s="179"/>
      <c r="E2" s="179"/>
      <c r="F2" s="12"/>
      <c r="G2" s="17"/>
      <c r="H2" s="12"/>
      <c r="I2" s="12"/>
      <c r="J2" s="12"/>
      <c r="K2" s="12"/>
      <c r="L2" s="12"/>
      <c r="M2" s="12"/>
      <c r="N2" s="18"/>
      <c r="O2" s="18"/>
      <c r="P2" s="18"/>
    </row>
    <row r="3" ht="5.25" customHeight="1"/>
    <row r="4" spans="5:7" ht="5.25" customHeight="1" hidden="1">
      <c r="E4" s="19">
        <v>31</v>
      </c>
      <c r="F4" s="39">
        <v>30</v>
      </c>
      <c r="G4" s="39">
        <v>29</v>
      </c>
    </row>
    <row r="5" spans="2:17" ht="42" customHeight="1">
      <c r="B5" s="87" t="s">
        <v>3</v>
      </c>
      <c r="C5" s="87" t="s">
        <v>4</v>
      </c>
      <c r="D5" s="88" t="s">
        <v>58</v>
      </c>
      <c r="E5" s="88" t="s">
        <v>55</v>
      </c>
      <c r="F5" s="88" t="s">
        <v>56</v>
      </c>
      <c r="G5" s="88" t="s">
        <v>42</v>
      </c>
      <c r="H5" s="24"/>
      <c r="I5" s="24"/>
      <c r="J5" s="24"/>
      <c r="K5" s="24"/>
      <c r="L5" s="24"/>
      <c r="M5" s="24"/>
      <c r="N5" s="24"/>
      <c r="Q5" s="13"/>
    </row>
    <row r="6" spans="2:16" s="19" customFormat="1" ht="25.5" customHeight="1">
      <c r="B6" s="118" t="s">
        <v>50</v>
      </c>
      <c r="C6" s="5" t="s">
        <v>20</v>
      </c>
      <c r="D6" s="119">
        <v>1769428</v>
      </c>
      <c r="E6" s="120">
        <f>$D$6*E$4</f>
        <v>54852268</v>
      </c>
      <c r="F6" s="120">
        <f>$D$6*F$4</f>
        <v>53082840</v>
      </c>
      <c r="G6" s="120">
        <f>$D$6*G$4</f>
        <v>51313412</v>
      </c>
      <c r="H6" s="33"/>
      <c r="I6" s="33"/>
      <c r="J6" s="33"/>
      <c r="K6" s="33"/>
      <c r="L6" s="33"/>
      <c r="M6" s="33"/>
      <c r="N6" s="18"/>
      <c r="O6" s="18"/>
      <c r="P6" s="18"/>
    </row>
    <row r="7" spans="2:16" s="19" customFormat="1" ht="25.5" customHeight="1">
      <c r="B7" s="118">
        <v>2</v>
      </c>
      <c r="C7" s="6" t="s">
        <v>12</v>
      </c>
      <c r="D7" s="121"/>
      <c r="E7" s="122">
        <f>$F7</f>
        <v>11000000</v>
      </c>
      <c r="F7" s="122">
        <v>11000000</v>
      </c>
      <c r="G7" s="122">
        <f>$F7</f>
        <v>11000000</v>
      </c>
      <c r="H7" s="33"/>
      <c r="I7" s="161"/>
      <c r="J7" s="33"/>
      <c r="K7" s="33"/>
      <c r="L7" s="33"/>
      <c r="M7" s="33"/>
      <c r="N7" s="18"/>
      <c r="O7" s="18"/>
      <c r="P7" s="18"/>
    </row>
    <row r="8" spans="2:16" s="19" customFormat="1" ht="25.5" customHeight="1">
      <c r="B8" s="118">
        <v>3</v>
      </c>
      <c r="C8" s="6" t="s">
        <v>7</v>
      </c>
      <c r="D8" s="121"/>
      <c r="E8" s="122">
        <f>$F8</f>
        <v>9000000</v>
      </c>
      <c r="F8" s="122">
        <v>9000000</v>
      </c>
      <c r="G8" s="122">
        <f>$F8</f>
        <v>9000000</v>
      </c>
      <c r="H8" s="33"/>
      <c r="I8" s="33"/>
      <c r="J8" s="33"/>
      <c r="K8" s="33"/>
      <c r="L8" s="33"/>
      <c r="M8" s="33"/>
      <c r="N8" s="18"/>
      <c r="O8" s="18"/>
      <c r="P8" s="18"/>
    </row>
    <row r="9" spans="2:16" s="19" customFormat="1" ht="25.5" customHeight="1">
      <c r="B9" s="118" t="s">
        <v>44</v>
      </c>
      <c r="C9" s="180" t="s">
        <v>8</v>
      </c>
      <c r="D9" s="181"/>
      <c r="E9" s="123">
        <f>$D$6*3*1</f>
        <v>5308284</v>
      </c>
      <c r="F9" s="123">
        <f>$D$6*3*1</f>
        <v>5308284</v>
      </c>
      <c r="G9" s="123">
        <f>$D$6*3*1</f>
        <v>5308284</v>
      </c>
      <c r="H9" s="33"/>
      <c r="I9" s="33"/>
      <c r="J9" s="33"/>
      <c r="K9" s="33"/>
      <c r="L9" s="33"/>
      <c r="M9" s="33"/>
      <c r="N9" s="18"/>
      <c r="O9" s="18"/>
      <c r="P9" s="18"/>
    </row>
    <row r="10" spans="2:16" ht="25.5" customHeight="1">
      <c r="B10" s="182" t="s">
        <v>46</v>
      </c>
      <c r="C10" s="183"/>
      <c r="D10" s="183"/>
      <c r="E10" s="183"/>
      <c r="F10" s="183"/>
      <c r="G10" s="184"/>
      <c r="H10" s="33"/>
      <c r="I10" s="33"/>
      <c r="J10" s="33"/>
      <c r="K10" s="33"/>
      <c r="L10" s="33"/>
      <c r="M10" s="33"/>
      <c r="N10" s="1"/>
      <c r="O10" s="1"/>
      <c r="P10" s="1"/>
    </row>
    <row r="11" spans="2:16" ht="25.5" customHeight="1">
      <c r="B11" s="182" t="s">
        <v>45</v>
      </c>
      <c r="C11" s="183"/>
      <c r="D11" s="183"/>
      <c r="E11" s="183"/>
      <c r="F11" s="183"/>
      <c r="G11" s="184"/>
      <c r="H11" s="33"/>
      <c r="I11" s="33"/>
      <c r="J11" s="33"/>
      <c r="K11" s="33"/>
      <c r="L11" s="33"/>
      <c r="M11" s="33"/>
      <c r="N11" s="1"/>
      <c r="O11" s="1"/>
      <c r="P11" s="1"/>
    </row>
    <row r="12" spans="2:16" ht="24">
      <c r="B12" s="185" t="s">
        <v>85</v>
      </c>
      <c r="C12" s="186"/>
      <c r="D12" s="186"/>
      <c r="E12" s="186"/>
      <c r="F12" s="186"/>
      <c r="G12" s="187"/>
      <c r="H12" s="33"/>
      <c r="I12" s="33"/>
      <c r="J12" s="33"/>
      <c r="K12" s="33"/>
      <c r="L12" s="33"/>
      <c r="M12" s="33"/>
      <c r="N12" s="1"/>
      <c r="O12" s="1"/>
      <c r="P12" s="1"/>
    </row>
    <row r="13" spans="2:16" s="19" customFormat="1" ht="25.5" customHeight="1">
      <c r="B13" s="188" t="s">
        <v>48</v>
      </c>
      <c r="C13" s="189"/>
      <c r="D13" s="124">
        <v>83596</v>
      </c>
      <c r="E13" s="120">
        <f>$D$13*E$4</f>
        <v>2591476</v>
      </c>
      <c r="F13" s="120">
        <f>$D$13*F$4</f>
        <v>2507880</v>
      </c>
      <c r="G13" s="120">
        <f>$D$13*G$4</f>
        <v>2424284</v>
      </c>
      <c r="H13" s="33"/>
      <c r="I13" s="33"/>
      <c r="J13" s="33"/>
      <c r="K13" s="33"/>
      <c r="L13" s="33"/>
      <c r="M13" s="33"/>
      <c r="N13" s="18"/>
      <c r="O13" s="18"/>
      <c r="P13" s="18"/>
    </row>
    <row r="14" spans="2:16" ht="26.25" customHeight="1">
      <c r="B14" s="191" t="s">
        <v>49</v>
      </c>
      <c r="C14" s="192"/>
      <c r="D14" s="192"/>
      <c r="E14" s="192"/>
      <c r="F14" s="192"/>
      <c r="G14" s="193"/>
      <c r="H14" s="33"/>
      <c r="I14" s="33"/>
      <c r="J14" s="33"/>
      <c r="K14" s="33"/>
      <c r="L14" s="33"/>
      <c r="M14" s="33"/>
      <c r="N14" s="1"/>
      <c r="O14" s="1"/>
      <c r="P14" s="1" t="e">
        <f>O14+#REF!+#REF!+O9+O8</f>
        <v>#REF!</v>
      </c>
    </row>
    <row r="15" spans="2:16" s="19" customFormat="1" ht="25.5" customHeight="1">
      <c r="B15" s="188" t="s">
        <v>47</v>
      </c>
      <c r="C15" s="189"/>
      <c r="D15" s="124">
        <v>70000</v>
      </c>
      <c r="E15" s="120">
        <f>$D$15*E$4</f>
        <v>2170000</v>
      </c>
      <c r="F15" s="120">
        <f>$D$15*F$4</f>
        <v>2100000</v>
      </c>
      <c r="G15" s="120">
        <f>$D$15*G$4</f>
        <v>2030000</v>
      </c>
      <c r="H15" s="33"/>
      <c r="I15" s="33"/>
      <c r="J15" s="33"/>
      <c r="K15" s="33"/>
      <c r="L15" s="33"/>
      <c r="M15" s="33"/>
      <c r="N15" s="18"/>
      <c r="O15" s="18"/>
      <c r="P15" s="18"/>
    </row>
    <row r="16" ht="26.25" customHeight="1"/>
    <row r="17" spans="2:16" s="12" customFormat="1" ht="23.25" customHeight="1">
      <c r="B17" s="194" t="s">
        <v>43</v>
      </c>
      <c r="C17" s="194"/>
      <c r="D17" s="194"/>
      <c r="E17" s="194"/>
      <c r="F17" s="194"/>
      <c r="G17" s="194"/>
      <c r="N17" s="117"/>
      <c r="O17" s="117"/>
      <c r="P17" s="117"/>
    </row>
    <row r="18" spans="1:18" s="13" customFormat="1" ht="24.75" customHeight="1">
      <c r="A18" s="14"/>
      <c r="B18" s="195" t="s">
        <v>57</v>
      </c>
      <c r="C18" s="196"/>
      <c r="D18" s="125">
        <v>100000000</v>
      </c>
      <c r="E18" s="197" t="s">
        <v>10</v>
      </c>
      <c r="F18" s="196"/>
      <c r="G18" s="126">
        <f>D18*12</f>
        <v>1200000000</v>
      </c>
      <c r="H18" s="19"/>
      <c r="I18" s="19"/>
      <c r="J18" s="19"/>
      <c r="K18" s="33"/>
      <c r="L18" s="19"/>
      <c r="M18" s="19"/>
      <c r="Q18" s="14"/>
      <c r="R18" s="14"/>
    </row>
    <row r="19" spans="1:18" s="13" customFormat="1" ht="24.75" customHeight="1">
      <c r="A19" s="14"/>
      <c r="B19" s="198" t="s">
        <v>88</v>
      </c>
      <c r="C19" s="199"/>
      <c r="D19" s="127">
        <f>F6*2</f>
        <v>106165680</v>
      </c>
      <c r="E19" s="200" t="s">
        <v>95</v>
      </c>
      <c r="F19" s="199"/>
      <c r="G19" s="128">
        <f>F6*3</f>
        <v>159248520</v>
      </c>
      <c r="H19" s="19"/>
      <c r="I19" s="19"/>
      <c r="J19" s="19"/>
      <c r="K19" s="19"/>
      <c r="L19" s="19"/>
      <c r="M19" s="19"/>
      <c r="Q19" s="14"/>
      <c r="R19" s="14"/>
    </row>
    <row r="20" spans="2:14" s="12" customFormat="1" ht="45.75" customHeight="1">
      <c r="B20" s="190" t="s">
        <v>40</v>
      </c>
      <c r="C20" s="190"/>
      <c r="D20" s="190"/>
      <c r="E20" s="190"/>
      <c r="F20" s="190"/>
      <c r="G20" s="190"/>
      <c r="L20" s="117"/>
      <c r="M20" s="117"/>
      <c r="N20" s="117"/>
    </row>
  </sheetData>
  <sheetProtection password="A60D" sheet="1" formatCells="0" formatColumns="0" formatRows="0" insertColumns="0" insertRows="0" insertHyperlinks="0" deleteColumns="0" deleteRows="0" sort="0" autoFilter="0" pivotTables="0"/>
  <mergeCells count="14">
    <mergeCell ref="B20:G20"/>
    <mergeCell ref="B14:G14"/>
    <mergeCell ref="B15:C15"/>
    <mergeCell ref="B17:G17"/>
    <mergeCell ref="B18:C18"/>
    <mergeCell ref="E18:F18"/>
    <mergeCell ref="B19:C19"/>
    <mergeCell ref="E19:F19"/>
    <mergeCell ref="C2:E2"/>
    <mergeCell ref="C9:D9"/>
    <mergeCell ref="B10:G10"/>
    <mergeCell ref="B11:G11"/>
    <mergeCell ref="B12:G12"/>
    <mergeCell ref="B13:C1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8"/>
  <sheetViews>
    <sheetView rightToLeft="1" tabSelected="1" zoomScale="85" zoomScaleNormal="85" zoomScalePageLayoutView="0" workbookViewId="0" topLeftCell="A4">
      <selection activeCell="G6" sqref="G6"/>
    </sheetView>
  </sheetViews>
  <sheetFormatPr defaultColWidth="9.140625" defaultRowHeight="15"/>
  <cols>
    <col min="1" max="1" width="1.57421875" style="14" customWidth="1"/>
    <col min="2" max="2" width="5.57421875" style="14" customWidth="1"/>
    <col min="3" max="3" width="28.7109375" style="19" customWidth="1"/>
    <col min="4" max="4" width="12.57421875" style="69" customWidth="1"/>
    <col min="5" max="5" width="14.140625" style="19" customWidth="1"/>
    <col min="6" max="7" width="14.140625" style="39" customWidth="1"/>
    <col min="8" max="8" width="1.28515625" style="19" customWidth="1"/>
    <col min="9" max="11" width="13.7109375" style="19" customWidth="1"/>
    <col min="12" max="13" width="9.140625" style="19" customWidth="1"/>
    <col min="14" max="14" width="13.7109375" style="13" customWidth="1"/>
    <col min="15" max="15" width="12.7109375" style="13" customWidth="1"/>
    <col min="16" max="16" width="15.421875" style="13" customWidth="1"/>
    <col min="17" max="18" width="13.7109375" style="14" customWidth="1"/>
    <col min="19" max="16384" width="9.00390625" style="14" customWidth="1"/>
  </cols>
  <sheetData>
    <row r="1" ht="11.25" customHeight="1"/>
    <row r="2" spans="2:16" s="19" customFormat="1" ht="26.25" customHeight="1">
      <c r="B2" s="12"/>
      <c r="C2" s="201" t="s">
        <v>90</v>
      </c>
      <c r="D2" s="201"/>
      <c r="E2" s="201"/>
      <c r="F2" s="12"/>
      <c r="G2" s="17"/>
      <c r="H2" s="12"/>
      <c r="I2" s="12"/>
      <c r="J2" s="12"/>
      <c r="K2" s="12"/>
      <c r="L2" s="12"/>
      <c r="M2" s="12"/>
      <c r="N2" s="18"/>
      <c r="O2" s="18"/>
      <c r="P2" s="18"/>
    </row>
    <row r="3" ht="6" customHeight="1"/>
    <row r="4" spans="2:17" ht="24">
      <c r="B4" s="87" t="s">
        <v>3</v>
      </c>
      <c r="C4" s="87" t="s">
        <v>4</v>
      </c>
      <c r="D4" s="88" t="s">
        <v>61</v>
      </c>
      <c r="E4" s="88" t="s">
        <v>59</v>
      </c>
      <c r="F4" s="88" t="s">
        <v>60</v>
      </c>
      <c r="G4" s="88" t="s">
        <v>42</v>
      </c>
      <c r="H4" s="24"/>
      <c r="I4" s="24"/>
      <c r="J4" s="24"/>
      <c r="K4" s="24"/>
      <c r="L4" s="24"/>
      <c r="M4" s="24"/>
      <c r="N4" s="24"/>
      <c r="Q4" s="13"/>
    </row>
    <row r="5" spans="2:16" s="19" customFormat="1" ht="29.25" customHeight="1">
      <c r="B5" s="89">
        <v>1</v>
      </c>
      <c r="C5" s="66" t="s">
        <v>20</v>
      </c>
      <c r="D5" s="90">
        <f>'دستمزد 1402'!D6</f>
        <v>1769428</v>
      </c>
      <c r="E5" s="91">
        <f>D5*31</f>
        <v>54852268</v>
      </c>
      <c r="F5" s="91">
        <f>D5*30</f>
        <v>53082840</v>
      </c>
      <c r="G5" s="91">
        <f>D5*29</f>
        <v>51313412</v>
      </c>
      <c r="H5" s="33"/>
      <c r="I5" s="33"/>
      <c r="J5" s="33"/>
      <c r="K5" s="33"/>
      <c r="L5" s="33"/>
      <c r="M5" s="33"/>
      <c r="N5" s="18"/>
      <c r="O5" s="18"/>
      <c r="P5" s="18"/>
    </row>
    <row r="6" spans="2:16" s="19" customFormat="1" ht="24">
      <c r="B6" s="87">
        <v>2</v>
      </c>
      <c r="C6" s="6" t="s">
        <v>12</v>
      </c>
      <c r="D6" s="92"/>
      <c r="E6" s="93">
        <f>$F6</f>
        <v>11000000</v>
      </c>
      <c r="F6" s="93">
        <f>'دستمزد 1402'!F7</f>
        <v>11000000</v>
      </c>
      <c r="G6" s="93">
        <f>$F6</f>
        <v>11000000</v>
      </c>
      <c r="H6" s="33"/>
      <c r="I6" s="33"/>
      <c r="J6" s="33"/>
      <c r="K6" s="33"/>
      <c r="L6" s="33"/>
      <c r="M6" s="33"/>
      <c r="N6" s="18"/>
      <c r="O6" s="18"/>
      <c r="P6" s="18"/>
    </row>
    <row r="7" spans="2:16" s="19" customFormat="1" ht="24">
      <c r="B7" s="87">
        <v>3</v>
      </c>
      <c r="C7" s="6" t="s">
        <v>7</v>
      </c>
      <c r="D7" s="92"/>
      <c r="E7" s="93">
        <f>$F7</f>
        <v>9000000</v>
      </c>
      <c r="F7" s="93">
        <f>'دستمزد 1402'!F8</f>
        <v>9000000</v>
      </c>
      <c r="G7" s="93">
        <f>$F7</f>
        <v>9000000</v>
      </c>
      <c r="H7" s="33"/>
      <c r="I7" s="33"/>
      <c r="J7" s="33"/>
      <c r="K7" s="33"/>
      <c r="L7" s="33"/>
      <c r="M7" s="33"/>
      <c r="N7" s="18"/>
      <c r="O7" s="18"/>
      <c r="P7" s="18"/>
    </row>
    <row r="8" spans="2:16" s="19" customFormat="1" ht="24.75" thickBot="1">
      <c r="B8" s="87">
        <v>4</v>
      </c>
      <c r="C8" s="5" t="s">
        <v>67</v>
      </c>
      <c r="D8" s="94"/>
      <c r="E8" s="95">
        <f>SUM(E5:E7)</f>
        <v>74852268</v>
      </c>
      <c r="F8" s="95">
        <f>SUM(F5:F7)</f>
        <v>73082840</v>
      </c>
      <c r="G8" s="95">
        <f>SUM(G5:G7)</f>
        <v>71313412</v>
      </c>
      <c r="H8" s="33"/>
      <c r="I8" s="33"/>
      <c r="J8" s="33"/>
      <c r="K8" s="33"/>
      <c r="L8" s="33"/>
      <c r="M8" s="33"/>
      <c r="N8" s="18"/>
      <c r="O8" s="18"/>
      <c r="P8" s="18"/>
    </row>
    <row r="9" spans="2:7" ht="27" customHeight="1" thickTop="1">
      <c r="B9" s="96">
        <v>5</v>
      </c>
      <c r="C9" s="97" t="s">
        <v>13</v>
      </c>
      <c r="D9" s="98"/>
      <c r="E9" s="99">
        <f>E8*20%</f>
        <v>14970453.600000001</v>
      </c>
      <c r="F9" s="99">
        <f>F8*20%</f>
        <v>14616568</v>
      </c>
      <c r="G9" s="100">
        <f>G8*20%</f>
        <v>14262682.4</v>
      </c>
    </row>
    <row r="10" spans="2:7" ht="27" customHeight="1">
      <c r="B10" s="96">
        <v>6</v>
      </c>
      <c r="C10" s="101" t="s">
        <v>14</v>
      </c>
      <c r="D10" s="102"/>
      <c r="E10" s="103">
        <f>E8*3%</f>
        <v>2245568.04</v>
      </c>
      <c r="F10" s="103">
        <f>F8*3%</f>
        <v>2192485.1999999997</v>
      </c>
      <c r="G10" s="104">
        <f>G8*3%</f>
        <v>2139402.36</v>
      </c>
    </row>
    <row r="11" spans="2:7" ht="27" customHeight="1">
      <c r="B11" s="96">
        <v>7</v>
      </c>
      <c r="C11" s="105" t="s">
        <v>16</v>
      </c>
      <c r="D11" s="106"/>
      <c r="E11" s="107">
        <f>E9+E10</f>
        <v>17216021.64</v>
      </c>
      <c r="F11" s="107">
        <f>F9+F10</f>
        <v>16809053.2</v>
      </c>
      <c r="G11" s="108">
        <f>G9+G10</f>
        <v>16402084.76</v>
      </c>
    </row>
    <row r="12" spans="2:7" ht="27" customHeight="1">
      <c r="B12" s="96">
        <v>8</v>
      </c>
      <c r="C12" s="109" t="s">
        <v>15</v>
      </c>
      <c r="D12" s="110"/>
      <c r="E12" s="111">
        <f>E8*7%</f>
        <v>5239658.760000001</v>
      </c>
      <c r="F12" s="111">
        <f>F8*7%</f>
        <v>5115798.800000001</v>
      </c>
      <c r="G12" s="112">
        <f>G8*7%</f>
        <v>4991938.840000001</v>
      </c>
    </row>
    <row r="13" spans="2:7" ht="27" customHeight="1" thickBot="1">
      <c r="B13" s="96">
        <v>9</v>
      </c>
      <c r="C13" s="113" t="s">
        <v>17</v>
      </c>
      <c r="D13" s="114"/>
      <c r="E13" s="115">
        <f>E11+E12</f>
        <v>22455680.400000002</v>
      </c>
      <c r="F13" s="115">
        <f>F11+F12</f>
        <v>21924852</v>
      </c>
      <c r="G13" s="116">
        <f>G11+G12</f>
        <v>21394023.6</v>
      </c>
    </row>
    <row r="14" ht="18.75" thickTop="1"/>
    <row r="15" spans="2:16" s="12" customFormat="1" ht="30" customHeight="1">
      <c r="B15" s="202" t="s">
        <v>41</v>
      </c>
      <c r="C15" s="202"/>
      <c r="D15" s="202"/>
      <c r="E15" s="202"/>
      <c r="F15" s="202"/>
      <c r="G15" s="202"/>
      <c r="N15" s="117"/>
      <c r="O15" s="117"/>
      <c r="P15" s="117"/>
    </row>
    <row r="16" spans="2:16" s="12" customFormat="1" ht="30" customHeight="1">
      <c r="B16" s="203" t="s">
        <v>62</v>
      </c>
      <c r="C16" s="203"/>
      <c r="D16" s="203"/>
      <c r="E16" s="203"/>
      <c r="F16" s="203"/>
      <c r="G16" s="203"/>
      <c r="N16" s="117"/>
      <c r="O16" s="117"/>
      <c r="P16" s="117"/>
    </row>
    <row r="17" spans="2:16" s="12" customFormat="1" ht="30" customHeight="1">
      <c r="B17" s="204" t="s">
        <v>63</v>
      </c>
      <c r="C17" s="204"/>
      <c r="D17" s="204"/>
      <c r="E17" s="204"/>
      <c r="F17" s="204"/>
      <c r="G17" s="204"/>
      <c r="N17" s="117"/>
      <c r="O17" s="117"/>
      <c r="P17" s="117"/>
    </row>
    <row r="18" spans="2:16" s="12" customFormat="1" ht="54" customHeight="1">
      <c r="B18" s="205" t="s">
        <v>64</v>
      </c>
      <c r="C18" s="205"/>
      <c r="D18" s="205"/>
      <c r="E18" s="205"/>
      <c r="F18" s="205"/>
      <c r="G18" s="205"/>
      <c r="N18" s="117"/>
      <c r="O18" s="117"/>
      <c r="P18" s="117"/>
    </row>
  </sheetData>
  <sheetProtection password="A60D" sheet="1" formatCells="0" formatColumns="0" formatRows="0" insertColumns="0" insertRows="0" insertHyperlinks="0" deleteColumns="0" deleteRows="0" sort="0" autoFilter="0" pivotTables="0"/>
  <mergeCells count="5">
    <mergeCell ref="C2:E2"/>
    <mergeCell ref="B15:G15"/>
    <mergeCell ref="B16:G16"/>
    <mergeCell ref="B17:G17"/>
    <mergeCell ref="B18:G1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rightToLeft="1" zoomScalePageLayoutView="0" workbookViewId="0" topLeftCell="A1">
      <selection activeCell="C14" sqref="C14:H14"/>
    </sheetView>
  </sheetViews>
  <sheetFormatPr defaultColWidth="9.140625" defaultRowHeight="15"/>
  <cols>
    <col min="1" max="1" width="1.421875" style="145" customWidth="1"/>
    <col min="2" max="2" width="9.140625" style="146" customWidth="1"/>
    <col min="3" max="3" width="12.140625" style="172" customWidth="1"/>
    <col min="4" max="4" width="14.7109375" style="172" customWidth="1"/>
    <col min="5" max="5" width="11.421875" style="147" bestFit="1" customWidth="1"/>
    <col min="6" max="6" width="12.00390625" style="172" customWidth="1"/>
    <col min="7" max="7" width="15.7109375" style="172" customWidth="1"/>
    <col min="8" max="8" width="7.421875" style="146" customWidth="1"/>
    <col min="9" max="9" width="1.8515625" style="146" customWidth="1"/>
    <col min="10" max="10" width="15.57421875" style="146" bestFit="1" customWidth="1"/>
    <col min="11" max="14" width="13.7109375" style="146" customWidth="1"/>
    <col min="15" max="16" width="9.140625" style="146" customWidth="1"/>
    <col min="17" max="17" width="13.7109375" style="176" customWidth="1"/>
    <col min="18" max="18" width="12.7109375" style="176" customWidth="1"/>
    <col min="19" max="19" width="15.421875" style="176" customWidth="1"/>
    <col min="20" max="21" width="13.7109375" style="145" customWidth="1"/>
    <col min="22" max="16384" width="9.00390625" style="145" customWidth="1"/>
  </cols>
  <sheetData>
    <row r="1" spans="1:19" s="14" customFormat="1" ht="21.75" customHeight="1">
      <c r="A1" s="7"/>
      <c r="B1" s="8"/>
      <c r="C1" s="9"/>
      <c r="D1" s="9"/>
      <c r="E1" s="10"/>
      <c r="F1" s="9"/>
      <c r="G1" s="9"/>
      <c r="H1" s="8"/>
      <c r="I1" s="11"/>
      <c r="J1" s="12"/>
      <c r="K1" s="12"/>
      <c r="L1" s="12"/>
      <c r="M1" s="12"/>
      <c r="N1" s="12"/>
      <c r="O1" s="12"/>
      <c r="P1" s="12"/>
      <c r="Q1" s="13"/>
      <c r="R1" s="13"/>
      <c r="S1" s="13"/>
    </row>
    <row r="2" spans="1:19" s="19" customFormat="1" ht="21.75" customHeight="1">
      <c r="A2" s="15"/>
      <c r="B2" s="12"/>
      <c r="C2" s="179" t="s">
        <v>86</v>
      </c>
      <c r="D2" s="179"/>
      <c r="E2" s="179"/>
      <c r="F2" s="179"/>
      <c r="G2" s="211"/>
      <c r="H2" s="212"/>
      <c r="I2" s="16"/>
      <c r="J2" s="17"/>
      <c r="K2" s="12"/>
      <c r="L2" s="12"/>
      <c r="M2" s="12"/>
      <c r="N2" s="12"/>
      <c r="O2" s="12"/>
      <c r="P2" s="12"/>
      <c r="Q2" s="18"/>
      <c r="R2" s="18"/>
      <c r="S2" s="18"/>
    </row>
    <row r="3" spans="1:19" s="14" customFormat="1" ht="9.75" customHeight="1">
      <c r="A3" s="20"/>
      <c r="B3" s="12"/>
      <c r="C3" s="21"/>
      <c r="D3" s="21"/>
      <c r="E3" s="22"/>
      <c r="F3" s="21"/>
      <c r="G3" s="21"/>
      <c r="H3" s="12"/>
      <c r="I3" s="16"/>
      <c r="J3" s="12"/>
      <c r="K3" s="12"/>
      <c r="L3" s="12"/>
      <c r="M3" s="12"/>
      <c r="N3" s="12"/>
      <c r="O3" s="12"/>
      <c r="P3" s="12"/>
      <c r="Q3" s="13"/>
      <c r="R3" s="13"/>
      <c r="S3" s="13"/>
    </row>
    <row r="4" spans="1:19" s="14" customFormat="1" ht="12" customHeight="1">
      <c r="A4" s="20"/>
      <c r="B4" s="213"/>
      <c r="C4" s="214"/>
      <c r="D4" s="214"/>
      <c r="E4" s="214"/>
      <c r="F4" s="214"/>
      <c r="G4" s="214"/>
      <c r="H4" s="64"/>
      <c r="I4" s="23"/>
      <c r="J4" s="24"/>
      <c r="K4" s="24"/>
      <c r="L4" s="24"/>
      <c r="M4" s="24"/>
      <c r="N4" s="24"/>
      <c r="O4" s="24"/>
      <c r="P4" s="24"/>
      <c r="Q4" s="13" t="s">
        <v>1</v>
      </c>
      <c r="R4" s="13" t="s">
        <v>0</v>
      </c>
      <c r="S4" s="13" t="s">
        <v>2</v>
      </c>
    </row>
    <row r="5" spans="1:19" s="14" customFormat="1" ht="18">
      <c r="A5" s="20"/>
      <c r="B5" s="25"/>
      <c r="C5" s="26" t="s">
        <v>21</v>
      </c>
      <c r="D5" s="26" t="s">
        <v>22</v>
      </c>
      <c r="E5" s="26"/>
      <c r="F5" s="26" t="s">
        <v>21</v>
      </c>
      <c r="G5" s="26" t="s">
        <v>22</v>
      </c>
      <c r="H5" s="65" t="s">
        <v>23</v>
      </c>
      <c r="I5" s="23"/>
      <c r="J5" s="24"/>
      <c r="K5" s="24"/>
      <c r="L5" s="24"/>
      <c r="M5" s="24"/>
      <c r="N5" s="24"/>
      <c r="O5" s="24"/>
      <c r="P5" s="24"/>
      <c r="Q5" s="13"/>
      <c r="R5" s="13"/>
      <c r="S5" s="13"/>
    </row>
    <row r="6" spans="1:19" s="14" customFormat="1" ht="18">
      <c r="A6" s="20"/>
      <c r="B6" s="27" t="s">
        <v>24</v>
      </c>
      <c r="C6" s="28">
        <v>0</v>
      </c>
      <c r="D6" s="67"/>
      <c r="E6" s="29" t="s">
        <v>25</v>
      </c>
      <c r="F6" s="28">
        <v>100000000</v>
      </c>
      <c r="G6" s="67">
        <f>F6*12</f>
        <v>1200000000</v>
      </c>
      <c r="H6" s="31">
        <v>0</v>
      </c>
      <c r="I6" s="32"/>
      <c r="J6" s="33"/>
      <c r="K6" s="33"/>
      <c r="L6" s="33"/>
      <c r="M6" s="33"/>
      <c r="N6" s="33"/>
      <c r="O6" s="33"/>
      <c r="P6" s="33"/>
      <c r="Q6" s="13">
        <v>0</v>
      </c>
      <c r="R6" s="13">
        <v>0</v>
      </c>
      <c r="S6" s="13">
        <v>0</v>
      </c>
    </row>
    <row r="7" spans="1:20" s="14" customFormat="1" ht="24">
      <c r="A7" s="20"/>
      <c r="B7" s="34" t="s">
        <v>24</v>
      </c>
      <c r="C7" s="35">
        <f>F6</f>
        <v>100000000</v>
      </c>
      <c r="D7" s="68">
        <f>C7*12</f>
        <v>1200000000</v>
      </c>
      <c r="E7" s="37" t="s">
        <v>25</v>
      </c>
      <c r="F7" s="35">
        <v>140000000</v>
      </c>
      <c r="G7" s="68">
        <f>F7*12</f>
        <v>1680000000</v>
      </c>
      <c r="H7" s="38">
        <v>10</v>
      </c>
      <c r="I7" s="32"/>
      <c r="J7" s="33"/>
      <c r="K7" s="33"/>
      <c r="L7" s="33"/>
      <c r="M7" s="33"/>
      <c r="N7" s="33"/>
      <c r="O7" s="33"/>
      <c r="P7" s="33"/>
      <c r="Q7" s="1">
        <f>F7-C7</f>
        <v>40000000</v>
      </c>
      <c r="R7" s="1">
        <f>Q7*H7/100</f>
        <v>4000000</v>
      </c>
      <c r="S7" s="1">
        <f>R7+R6</f>
        <v>4000000</v>
      </c>
      <c r="T7" s="39"/>
    </row>
    <row r="8" spans="1:20" s="14" customFormat="1" ht="24">
      <c r="A8" s="20"/>
      <c r="B8" s="27" t="s">
        <v>24</v>
      </c>
      <c r="C8" s="28">
        <f>F7</f>
        <v>140000000</v>
      </c>
      <c r="D8" s="67">
        <f>C8*12</f>
        <v>1680000000</v>
      </c>
      <c r="E8" s="29" t="s">
        <v>25</v>
      </c>
      <c r="F8" s="28">
        <v>230000000</v>
      </c>
      <c r="G8" s="67">
        <f>F8*12</f>
        <v>2760000000</v>
      </c>
      <c r="H8" s="31">
        <v>15</v>
      </c>
      <c r="I8" s="32"/>
      <c r="J8" s="33"/>
      <c r="K8" s="33"/>
      <c r="L8" s="33"/>
      <c r="M8" s="33"/>
      <c r="N8" s="33"/>
      <c r="O8" s="33"/>
      <c r="P8" s="33"/>
      <c r="Q8" s="1">
        <f>F8-C8</f>
        <v>90000000</v>
      </c>
      <c r="R8" s="1">
        <f>Q8*H8/100</f>
        <v>13500000</v>
      </c>
      <c r="S8" s="1">
        <f>R8+R7+R6</f>
        <v>17500000</v>
      </c>
      <c r="T8" s="39"/>
    </row>
    <row r="9" spans="1:19" s="14" customFormat="1" ht="24">
      <c r="A9" s="20"/>
      <c r="B9" s="34" t="s">
        <v>24</v>
      </c>
      <c r="C9" s="35">
        <f>F8</f>
        <v>230000000</v>
      </c>
      <c r="D9" s="68">
        <f>C9*12</f>
        <v>2760000000</v>
      </c>
      <c r="E9" s="37" t="s">
        <v>25</v>
      </c>
      <c r="F9" s="35">
        <v>340000000</v>
      </c>
      <c r="G9" s="68">
        <f>F9*12</f>
        <v>4080000000</v>
      </c>
      <c r="H9" s="38">
        <v>20</v>
      </c>
      <c r="I9" s="32"/>
      <c r="J9" s="33"/>
      <c r="K9" s="33"/>
      <c r="L9" s="33"/>
      <c r="M9" s="33"/>
      <c r="N9" s="33"/>
      <c r="O9" s="33"/>
      <c r="P9" s="33"/>
      <c r="Q9" s="1">
        <f>F9-C9</f>
        <v>110000000</v>
      </c>
      <c r="R9" s="1">
        <f>Q9*H9/100</f>
        <v>22000000</v>
      </c>
      <c r="S9" s="1">
        <f>R9+R8+R7+R6</f>
        <v>39500000</v>
      </c>
    </row>
    <row r="10" spans="1:20" s="14" customFormat="1" ht="24">
      <c r="A10" s="20"/>
      <c r="B10" s="27" t="s">
        <v>24</v>
      </c>
      <c r="C10" s="28">
        <f>F9</f>
        <v>340000000</v>
      </c>
      <c r="D10" s="67">
        <f>C10*12</f>
        <v>4080000000</v>
      </c>
      <c r="E10" s="29"/>
      <c r="F10" s="28"/>
      <c r="G10" s="67"/>
      <c r="H10" s="31">
        <v>30</v>
      </c>
      <c r="I10" s="32"/>
      <c r="J10" s="33"/>
      <c r="K10" s="33"/>
      <c r="L10" s="33"/>
      <c r="M10" s="33"/>
      <c r="N10" s="33"/>
      <c r="O10" s="33"/>
      <c r="P10" s="33"/>
      <c r="Q10" s="1">
        <f>F10-C10</f>
        <v>-340000000</v>
      </c>
      <c r="R10" s="1">
        <f>Q10*H10/100</f>
        <v>-102000000</v>
      </c>
      <c r="S10" s="1">
        <f>R10+R9+R8+R7</f>
        <v>-62500000</v>
      </c>
      <c r="T10" s="39"/>
    </row>
    <row r="11" spans="1:19" s="14" customFormat="1" ht="10.5" customHeight="1">
      <c r="A11" s="20"/>
      <c r="B11" s="12"/>
      <c r="C11" s="21"/>
      <c r="D11" s="21"/>
      <c r="E11" s="22"/>
      <c r="F11" s="21"/>
      <c r="G11" s="21"/>
      <c r="H11" s="12"/>
      <c r="I11" s="16"/>
      <c r="J11" s="12"/>
      <c r="K11" s="12"/>
      <c r="L11" s="12"/>
      <c r="M11" s="12"/>
      <c r="N11" s="12"/>
      <c r="O11" s="12"/>
      <c r="P11" s="12"/>
      <c r="Q11" s="13"/>
      <c r="R11" s="13"/>
      <c r="S11" s="13"/>
    </row>
    <row r="12" spans="1:9" s="129" customFormat="1" ht="50.25" customHeight="1">
      <c r="A12" s="20"/>
      <c r="B12" s="215" t="s">
        <v>66</v>
      </c>
      <c r="C12" s="215"/>
      <c r="D12" s="215"/>
      <c r="E12" s="215"/>
      <c r="F12" s="215"/>
      <c r="G12" s="215"/>
      <c r="H12" s="215"/>
      <c r="I12" s="77"/>
    </row>
    <row r="13" spans="1:9" s="129" customFormat="1" ht="14.25" customHeight="1">
      <c r="A13" s="20"/>
      <c r="B13" s="78"/>
      <c r="C13" s="78"/>
      <c r="D13" s="78"/>
      <c r="E13" s="78"/>
      <c r="F13" s="78"/>
      <c r="G13" s="79"/>
      <c r="H13" s="63"/>
      <c r="I13" s="77"/>
    </row>
    <row r="14" spans="1:9" s="173" customFormat="1" ht="36.75" customHeight="1">
      <c r="A14" s="80"/>
      <c r="B14" s="81" t="s">
        <v>26</v>
      </c>
      <c r="C14" s="216" t="s">
        <v>91</v>
      </c>
      <c r="D14" s="216"/>
      <c r="E14" s="216"/>
      <c r="F14" s="216"/>
      <c r="G14" s="216"/>
      <c r="H14" s="216"/>
      <c r="I14" s="82"/>
    </row>
    <row r="15" spans="1:11" s="173" customFormat="1" ht="37.5" customHeight="1">
      <c r="A15" s="80"/>
      <c r="B15" s="83" t="s">
        <v>27</v>
      </c>
      <c r="C15" s="217" t="s">
        <v>92</v>
      </c>
      <c r="D15" s="217"/>
      <c r="E15" s="217"/>
      <c r="F15" s="217"/>
      <c r="G15" s="217"/>
      <c r="H15" s="217"/>
      <c r="I15" s="82"/>
      <c r="K15" s="174"/>
    </row>
    <row r="16" spans="1:11" s="173" customFormat="1" ht="7.5" customHeight="1">
      <c r="A16" s="80"/>
      <c r="B16" s="84"/>
      <c r="C16" s="206"/>
      <c r="D16" s="206"/>
      <c r="E16" s="206"/>
      <c r="F16" s="206"/>
      <c r="G16" s="84"/>
      <c r="H16" s="84"/>
      <c r="I16" s="82"/>
      <c r="K16" s="174"/>
    </row>
    <row r="17" spans="1:9" s="175" customFormat="1" ht="47.25" customHeight="1">
      <c r="A17" s="85"/>
      <c r="B17" s="207" t="s">
        <v>93</v>
      </c>
      <c r="C17" s="208"/>
      <c r="D17" s="208"/>
      <c r="E17" s="208"/>
      <c r="F17" s="208"/>
      <c r="G17" s="208"/>
      <c r="H17" s="209"/>
      <c r="I17" s="86"/>
    </row>
    <row r="18" spans="1:21" s="146" customFormat="1" ht="11.25" customHeight="1">
      <c r="A18" s="72"/>
      <c r="B18" s="73"/>
      <c r="C18" s="74"/>
      <c r="D18" s="74"/>
      <c r="E18" s="75"/>
      <c r="F18" s="74"/>
      <c r="G18" s="74"/>
      <c r="H18" s="73"/>
      <c r="I18" s="76"/>
      <c r="Q18" s="176"/>
      <c r="R18" s="176"/>
      <c r="S18" s="176"/>
      <c r="T18" s="145"/>
      <c r="U18" s="145"/>
    </row>
    <row r="19" spans="1:9" ht="87.75" customHeight="1">
      <c r="A19" s="210" t="s">
        <v>94</v>
      </c>
      <c r="B19" s="210"/>
      <c r="C19" s="210"/>
      <c r="D19" s="210"/>
      <c r="E19" s="210"/>
      <c r="F19" s="210"/>
      <c r="G19" s="210"/>
      <c r="H19" s="210"/>
      <c r="I19" s="210"/>
    </row>
  </sheetData>
  <sheetProtection password="A60D" sheet="1"/>
  <mergeCells count="9">
    <mergeCell ref="C16:F16"/>
    <mergeCell ref="B17:H17"/>
    <mergeCell ref="A19:I19"/>
    <mergeCell ref="C2:F2"/>
    <mergeCell ref="G2:H2"/>
    <mergeCell ref="B4:G4"/>
    <mergeCell ref="B12:H12"/>
    <mergeCell ref="C14:H14"/>
    <mergeCell ref="C15:H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rightToLeft="1" zoomScalePageLayoutView="0" workbookViewId="0" topLeftCell="A1">
      <selection activeCell="F6" sqref="F6 I6:I9 F13:G13 C7:C10 J7:J10"/>
    </sheetView>
  </sheetViews>
  <sheetFormatPr defaultColWidth="9.140625" defaultRowHeight="15"/>
  <cols>
    <col min="1" max="1" width="1.421875" style="145" customWidth="1"/>
    <col min="2" max="2" width="9.00390625" style="146" customWidth="1"/>
    <col min="3" max="3" width="12.421875" style="147" customWidth="1"/>
    <col min="4" max="4" width="12.00390625" style="147" bestFit="1" customWidth="1"/>
    <col min="5" max="5" width="10.00390625" style="147" bestFit="1" customWidth="1"/>
    <col min="6" max="6" width="10.8515625" style="147" bestFit="1" customWidth="1"/>
    <col min="7" max="7" width="12.00390625" style="147" bestFit="1" customWidth="1"/>
    <col min="8" max="8" width="16.140625" style="172" hidden="1" customWidth="1"/>
    <col min="9" max="9" width="14.00390625" style="147" bestFit="1" customWidth="1"/>
    <col min="10" max="10" width="6.421875" style="146" bestFit="1" customWidth="1"/>
    <col min="11" max="11" width="1.8515625" style="146" customWidth="1"/>
    <col min="12" max="12" width="9.00390625" style="145" customWidth="1"/>
    <col min="13" max="13" width="13.57421875" style="145" bestFit="1" customWidth="1"/>
    <col min="14" max="14" width="9.00390625" style="145" customWidth="1"/>
    <col min="15" max="15" width="15.00390625" style="145" bestFit="1" customWidth="1"/>
    <col min="16" max="16384" width="9.00390625" style="145" customWidth="1"/>
  </cols>
  <sheetData>
    <row r="1" spans="1:11" s="129" customFormat="1" ht="21.75" customHeight="1">
      <c r="A1" s="162"/>
      <c r="B1" s="163"/>
      <c r="C1" s="164"/>
      <c r="D1" s="164"/>
      <c r="E1" s="164"/>
      <c r="F1" s="164"/>
      <c r="G1" s="164"/>
      <c r="H1" s="165"/>
      <c r="I1" s="164"/>
      <c r="J1" s="163"/>
      <c r="K1" s="166"/>
    </row>
    <row r="2" spans="1:11" s="130" customFormat="1" ht="21.75" customHeight="1">
      <c r="A2" s="15"/>
      <c r="B2" s="19"/>
      <c r="C2" s="179" t="s">
        <v>86</v>
      </c>
      <c r="D2" s="179"/>
      <c r="E2" s="179"/>
      <c r="F2" s="179"/>
      <c r="G2" s="211"/>
      <c r="H2" s="212"/>
      <c r="I2" s="212"/>
      <c r="J2" s="212"/>
      <c r="K2" s="16"/>
    </row>
    <row r="3" spans="1:11" s="129" customFormat="1" ht="9.75" customHeight="1">
      <c r="A3" s="20"/>
      <c r="B3" s="19"/>
      <c r="C3" s="69"/>
      <c r="D3" s="69"/>
      <c r="E3" s="69"/>
      <c r="F3" s="69"/>
      <c r="G3" s="69"/>
      <c r="H3" s="39"/>
      <c r="I3" s="69"/>
      <c r="J3" s="19"/>
      <c r="K3" s="16"/>
    </row>
    <row r="4" spans="1:11" s="129" customFormat="1" ht="12" customHeight="1">
      <c r="A4" s="20"/>
      <c r="B4" s="213"/>
      <c r="C4" s="214"/>
      <c r="D4" s="214"/>
      <c r="E4" s="214"/>
      <c r="F4" s="214"/>
      <c r="G4" s="214"/>
      <c r="H4" s="160"/>
      <c r="I4" s="167"/>
      <c r="J4" s="64"/>
      <c r="K4" s="32"/>
    </row>
    <row r="5" spans="1:11" s="129" customFormat="1" ht="18">
      <c r="A5" s="20"/>
      <c r="B5" s="25"/>
      <c r="C5" s="168" t="s">
        <v>21</v>
      </c>
      <c r="D5" s="168" t="s">
        <v>22</v>
      </c>
      <c r="E5" s="26"/>
      <c r="F5" s="168" t="s">
        <v>21</v>
      </c>
      <c r="G5" s="168" t="s">
        <v>22</v>
      </c>
      <c r="H5" s="26" t="s">
        <v>53</v>
      </c>
      <c r="I5" s="168" t="s">
        <v>65</v>
      </c>
      <c r="J5" s="65" t="s">
        <v>23</v>
      </c>
      <c r="K5" s="32"/>
    </row>
    <row r="6" spans="1:11" s="129" customFormat="1" ht="18">
      <c r="A6" s="20"/>
      <c r="B6" s="27" t="s">
        <v>24</v>
      </c>
      <c r="C6" s="169">
        <v>0</v>
      </c>
      <c r="D6" s="169"/>
      <c r="E6" s="29" t="s">
        <v>25</v>
      </c>
      <c r="F6" s="169">
        <v>100000000</v>
      </c>
      <c r="G6" s="169">
        <f>F6*12</f>
        <v>1200000000</v>
      </c>
      <c r="H6" s="30">
        <v>0</v>
      </c>
      <c r="I6" s="169">
        <f>H6</f>
        <v>0</v>
      </c>
      <c r="J6" s="31">
        <v>0</v>
      </c>
      <c r="K6" s="32"/>
    </row>
    <row r="7" spans="1:11" s="129" customFormat="1" ht="24">
      <c r="A7" s="20"/>
      <c r="B7" s="34" t="s">
        <v>24</v>
      </c>
      <c r="C7" s="170">
        <f>F6</f>
        <v>100000000</v>
      </c>
      <c r="D7" s="170">
        <f>C7*12</f>
        <v>1200000000</v>
      </c>
      <c r="E7" s="37" t="s">
        <v>25</v>
      </c>
      <c r="F7" s="170">
        <v>140000000</v>
      </c>
      <c r="G7" s="170">
        <f>F7*12</f>
        <v>1680000000</v>
      </c>
      <c r="H7" s="36">
        <f>(F7-C7)*J7/100</f>
        <v>4000000</v>
      </c>
      <c r="I7" s="170">
        <f>H7+I6</f>
        <v>4000000</v>
      </c>
      <c r="J7" s="38">
        <v>10</v>
      </c>
      <c r="K7" s="32"/>
    </row>
    <row r="8" spans="1:11" s="129" customFormat="1" ht="24">
      <c r="A8" s="20"/>
      <c r="B8" s="27" t="s">
        <v>24</v>
      </c>
      <c r="C8" s="169">
        <f>F7</f>
        <v>140000000</v>
      </c>
      <c r="D8" s="169">
        <f>C8*12</f>
        <v>1680000000</v>
      </c>
      <c r="E8" s="29" t="s">
        <v>25</v>
      </c>
      <c r="F8" s="169">
        <v>230000000</v>
      </c>
      <c r="G8" s="169">
        <f>F8*12</f>
        <v>2760000000</v>
      </c>
      <c r="H8" s="30">
        <f>(F8-C8)*J8/100</f>
        <v>13500000</v>
      </c>
      <c r="I8" s="169">
        <f>H8+I7</f>
        <v>17500000</v>
      </c>
      <c r="J8" s="31">
        <v>15</v>
      </c>
      <c r="K8" s="32"/>
    </row>
    <row r="9" spans="1:11" s="129" customFormat="1" ht="24">
      <c r="A9" s="20"/>
      <c r="B9" s="34" t="s">
        <v>24</v>
      </c>
      <c r="C9" s="170">
        <f>F8</f>
        <v>230000000</v>
      </c>
      <c r="D9" s="170">
        <f>C9*12</f>
        <v>2760000000</v>
      </c>
      <c r="E9" s="37" t="s">
        <v>25</v>
      </c>
      <c r="F9" s="170">
        <v>340000000</v>
      </c>
      <c r="G9" s="170">
        <f>F9*12</f>
        <v>4080000000</v>
      </c>
      <c r="H9" s="36">
        <f>(F9-C9)*J9/100</f>
        <v>22000000</v>
      </c>
      <c r="I9" s="170">
        <f>H9+I8</f>
        <v>39500000</v>
      </c>
      <c r="J9" s="38">
        <v>20</v>
      </c>
      <c r="K9" s="32"/>
    </row>
    <row r="10" spans="1:11" s="129" customFormat="1" ht="24">
      <c r="A10" s="20"/>
      <c r="B10" s="27" t="s">
        <v>24</v>
      </c>
      <c r="C10" s="169">
        <f>F9</f>
        <v>340000000</v>
      </c>
      <c r="D10" s="169">
        <f>C10*12</f>
        <v>4080000000</v>
      </c>
      <c r="E10" s="29"/>
      <c r="F10" s="169"/>
      <c r="G10" s="169"/>
      <c r="H10" s="30"/>
      <c r="I10" s="169"/>
      <c r="J10" s="31">
        <v>30</v>
      </c>
      <c r="K10" s="32"/>
    </row>
    <row r="11" spans="1:11" s="129" customFormat="1" ht="10.5" customHeight="1">
      <c r="A11" s="20"/>
      <c r="B11" s="19"/>
      <c r="C11" s="69"/>
      <c r="D11" s="69"/>
      <c r="E11" s="69"/>
      <c r="F11" s="69"/>
      <c r="G11" s="69"/>
      <c r="H11" s="39"/>
      <c r="I11" s="69"/>
      <c r="J11" s="19"/>
      <c r="K11" s="16"/>
    </row>
    <row r="12" spans="1:11" s="129" customFormat="1" ht="27" customHeight="1">
      <c r="A12" s="20"/>
      <c r="B12" s="19"/>
      <c r="C12" s="69"/>
      <c r="D12" s="69"/>
      <c r="E12" s="69"/>
      <c r="F12" s="69"/>
      <c r="G12" s="69"/>
      <c r="H12" s="39"/>
      <c r="I12" s="69"/>
      <c r="J12" s="19"/>
      <c r="K12" s="16"/>
    </row>
    <row r="13" spans="1:11" s="171" customFormat="1" ht="36" customHeight="1">
      <c r="A13" s="70"/>
      <c r="B13" s="70"/>
      <c r="C13" s="218" t="s">
        <v>51</v>
      </c>
      <c r="D13" s="219"/>
      <c r="E13" s="220"/>
      <c r="F13" s="221">
        <v>190000000</v>
      </c>
      <c r="G13" s="221"/>
      <c r="H13" s="71"/>
      <c r="I13" s="71"/>
      <c r="J13" s="71"/>
      <c r="K13" s="16"/>
    </row>
    <row r="14" spans="1:11" s="171" customFormat="1" ht="38.25" customHeight="1">
      <c r="A14" s="70"/>
      <c r="B14" s="70"/>
      <c r="C14" s="222" t="s">
        <v>52</v>
      </c>
      <c r="D14" s="223"/>
      <c r="E14" s="224"/>
      <c r="F14" s="225">
        <f>IF(F13&lt;F6,0,IF(F13&gt;C10,I9+((F13-C10)*J10/100),IF(F13&gt;C9,I8+((F13-C9)*J9/100),IF(F13&gt;C8,I7+((F13-C8)*J8/100),IF(F13&gt;C7,I6+((F13-C7)*J7/100),)))))</f>
        <v>11500000</v>
      </c>
      <c r="G14" s="225"/>
      <c r="H14" s="71"/>
      <c r="I14" s="71"/>
      <c r="J14" s="71"/>
      <c r="K14" s="16"/>
    </row>
    <row r="15" spans="1:11" s="146" customFormat="1" ht="11.25" customHeight="1">
      <c r="A15" s="72"/>
      <c r="B15" s="73"/>
      <c r="C15" s="75"/>
      <c r="D15" s="75"/>
      <c r="E15" s="75"/>
      <c r="F15" s="75"/>
      <c r="G15" s="75"/>
      <c r="H15" s="74"/>
      <c r="I15" s="75"/>
      <c r="J15" s="73"/>
      <c r="K15" s="76"/>
    </row>
  </sheetData>
  <sheetProtection password="A60D" sheet="1" objects="1" scenarios="1" formatCells="0" formatColumns="0" formatRows="0"/>
  <mergeCells count="7">
    <mergeCell ref="C2:F2"/>
    <mergeCell ref="G2:J2"/>
    <mergeCell ref="B4:G4"/>
    <mergeCell ref="C13:E13"/>
    <mergeCell ref="F13:G13"/>
    <mergeCell ref="C14:E14"/>
    <mergeCell ref="F14:G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2"/>
  <sheetViews>
    <sheetView rightToLeft="1" zoomScale="85" zoomScaleNormal="85" zoomScalePageLayoutView="0" workbookViewId="0" topLeftCell="A1">
      <selection activeCell="E6" sqref="E6"/>
    </sheetView>
  </sheetViews>
  <sheetFormatPr defaultColWidth="9.140625" defaultRowHeight="15"/>
  <cols>
    <col min="1" max="1" width="4.00390625" style="47" customWidth="1"/>
    <col min="2" max="2" width="7.00390625" style="44" customWidth="1"/>
    <col min="3" max="3" width="31.421875" style="45" customWidth="1"/>
    <col min="4" max="4" width="12.8515625" style="46" bestFit="1" customWidth="1"/>
    <col min="5" max="5" width="20.8515625" style="45" bestFit="1" customWidth="1"/>
    <col min="6" max="6" width="3.421875" style="44" customWidth="1"/>
    <col min="7" max="7" width="15.57421875" style="44" bestFit="1" customWidth="1"/>
    <col min="8" max="11" width="13.7109375" style="44" customWidth="1"/>
    <col min="12" max="13" width="9.140625" style="44" customWidth="1"/>
    <col min="14" max="15" width="13.7109375" style="47" customWidth="1"/>
    <col min="16" max="16384" width="9.00390625" style="47" customWidth="1"/>
  </cols>
  <sheetData>
    <row r="1" ht="15" customHeight="1"/>
    <row r="2" spans="2:13" s="44" customFormat="1" ht="26.25" customHeight="1">
      <c r="B2" s="48"/>
      <c r="C2" s="228" t="s">
        <v>87</v>
      </c>
      <c r="D2" s="229"/>
      <c r="E2" s="40"/>
      <c r="F2" s="48"/>
      <c r="G2" s="49"/>
      <c r="H2" s="48"/>
      <c r="I2" s="48"/>
      <c r="J2" s="48"/>
      <c r="K2" s="48"/>
      <c r="L2" s="48"/>
      <c r="M2" s="48"/>
    </row>
    <row r="3" spans="2:13" ht="9.75" customHeight="1">
      <c r="B3" s="48"/>
      <c r="C3" s="50"/>
      <c r="D3" s="51"/>
      <c r="E3" s="50"/>
      <c r="F3" s="48"/>
      <c r="G3" s="48"/>
      <c r="H3" s="48"/>
      <c r="I3" s="48"/>
      <c r="J3" s="48"/>
      <c r="K3" s="48"/>
      <c r="L3" s="48"/>
      <c r="M3" s="48"/>
    </row>
    <row r="4" spans="2:13" ht="18">
      <c r="B4" s="52" t="s">
        <v>3</v>
      </c>
      <c r="C4" s="52" t="s">
        <v>4</v>
      </c>
      <c r="D4" s="52" t="s">
        <v>5</v>
      </c>
      <c r="E4" s="52" t="s">
        <v>19</v>
      </c>
      <c r="F4" s="53"/>
      <c r="G4" s="53"/>
      <c r="H4" s="53"/>
      <c r="I4" s="53"/>
      <c r="J4" s="53"/>
      <c r="K4" s="53"/>
      <c r="L4" s="53"/>
      <c r="M4" s="53"/>
    </row>
    <row r="5" spans="2:13" ht="18">
      <c r="B5" s="54">
        <v>1</v>
      </c>
      <c r="C5" s="2" t="s">
        <v>18</v>
      </c>
      <c r="D5" s="55">
        <f>E5/30</f>
        <v>1769428</v>
      </c>
      <c r="E5" s="3">
        <f>'دستمزد 1402'!F6</f>
        <v>53082840</v>
      </c>
      <c r="F5" s="56"/>
      <c r="G5" s="56"/>
      <c r="H5" s="56"/>
      <c r="I5" s="56"/>
      <c r="J5" s="56"/>
      <c r="K5" s="56"/>
      <c r="L5" s="56"/>
      <c r="M5" s="56"/>
    </row>
    <row r="6" spans="2:13" ht="24">
      <c r="B6" s="54">
        <v>2</v>
      </c>
      <c r="C6" s="2" t="s">
        <v>32</v>
      </c>
      <c r="D6" s="55">
        <f>E6/30</f>
        <v>0</v>
      </c>
      <c r="E6" s="61"/>
      <c r="F6" s="56"/>
      <c r="G6" s="56"/>
      <c r="H6" s="56"/>
      <c r="I6" s="56"/>
      <c r="J6" s="56"/>
      <c r="K6" s="56"/>
      <c r="L6" s="56"/>
      <c r="M6" s="56"/>
    </row>
    <row r="7" spans="2:13" ht="24">
      <c r="B7" s="57"/>
      <c r="C7" s="42" t="s">
        <v>31</v>
      </c>
      <c r="D7" s="58">
        <f>SUM(D5:D6)</f>
        <v>1769428</v>
      </c>
      <c r="E7" s="43">
        <f>SUM(E5:E6)</f>
        <v>53082840</v>
      </c>
      <c r="F7" s="56"/>
      <c r="G7" s="56"/>
      <c r="H7" s="56"/>
      <c r="I7" s="56"/>
      <c r="J7" s="56"/>
      <c r="K7" s="56"/>
      <c r="L7" s="56"/>
      <c r="M7" s="56"/>
    </row>
    <row r="8" spans="2:14" ht="24">
      <c r="B8" s="54">
        <v>4</v>
      </c>
      <c r="C8" s="2" t="s">
        <v>6</v>
      </c>
      <c r="D8" s="55">
        <f>E8/30</f>
        <v>366666.6666666667</v>
      </c>
      <c r="E8" s="3">
        <f>'دستمزد 1402'!F7</f>
        <v>11000000</v>
      </c>
      <c r="F8" s="56"/>
      <c r="G8" s="56"/>
      <c r="H8" s="56"/>
      <c r="I8" s="56"/>
      <c r="J8" s="56"/>
      <c r="K8" s="56"/>
      <c r="L8" s="56"/>
      <c r="M8" s="56"/>
      <c r="N8" s="45"/>
    </row>
    <row r="9" spans="2:14" ht="24">
      <c r="B9" s="54">
        <v>5</v>
      </c>
      <c r="C9" s="2" t="s">
        <v>7</v>
      </c>
      <c r="D9" s="55">
        <f>E9/30</f>
        <v>300000</v>
      </c>
      <c r="E9" s="3">
        <f>'دستمزد 1402'!F8</f>
        <v>9000000</v>
      </c>
      <c r="F9" s="56"/>
      <c r="G9" s="56"/>
      <c r="H9" s="56"/>
      <c r="I9" s="56"/>
      <c r="J9" s="56"/>
      <c r="K9" s="56"/>
      <c r="L9" s="56"/>
      <c r="M9" s="56"/>
      <c r="N9" s="45"/>
    </row>
    <row r="10" spans="2:13" ht="24">
      <c r="B10" s="54">
        <v>7</v>
      </c>
      <c r="C10" s="2" t="s">
        <v>9</v>
      </c>
      <c r="D10" s="55">
        <f>E10/30</f>
        <v>70000</v>
      </c>
      <c r="E10" s="3">
        <f>'دستمزد 1402'!F15</f>
        <v>2100000</v>
      </c>
      <c r="F10" s="56"/>
      <c r="G10" s="56"/>
      <c r="H10" s="56"/>
      <c r="I10" s="56"/>
      <c r="J10" s="56"/>
      <c r="K10" s="56"/>
      <c r="L10" s="56"/>
      <c r="M10" s="56"/>
    </row>
    <row r="11" spans="2:13" ht="9.75" customHeight="1">
      <c r="B11" s="48"/>
      <c r="C11" s="4"/>
      <c r="D11" s="51"/>
      <c r="E11" s="59"/>
      <c r="F11" s="56"/>
      <c r="G11" s="56"/>
      <c r="H11" s="56"/>
      <c r="I11" s="56"/>
      <c r="J11" s="56"/>
      <c r="K11" s="56"/>
      <c r="L11" s="56"/>
      <c r="M11" s="56"/>
    </row>
    <row r="12" spans="2:13" ht="21.75" customHeight="1">
      <c r="B12" s="48"/>
      <c r="C12" s="50"/>
      <c r="D12" s="51"/>
      <c r="E12" s="50"/>
      <c r="F12" s="48"/>
      <c r="G12" s="48"/>
      <c r="H12" s="48"/>
      <c r="I12" s="48"/>
      <c r="J12" s="48"/>
      <c r="K12" s="48"/>
      <c r="L12" s="48"/>
      <c r="M12" s="48"/>
    </row>
    <row r="13" spans="2:5" ht="26.25" customHeight="1">
      <c r="B13" s="230" t="s">
        <v>11</v>
      </c>
      <c r="C13" s="230"/>
      <c r="D13" s="230"/>
      <c r="E13" s="60">
        <f>'دستمزد 1402'!D18</f>
        <v>100000000</v>
      </c>
    </row>
    <row r="14" spans="2:5" ht="26.25" customHeight="1">
      <c r="B14" s="230" t="s">
        <v>10</v>
      </c>
      <c r="C14" s="230"/>
      <c r="D14" s="230"/>
      <c r="E14" s="60">
        <f>E13*12</f>
        <v>1200000000</v>
      </c>
    </row>
    <row r="15" spans="2:5" ht="26.25" customHeight="1">
      <c r="B15" s="231" t="s">
        <v>88</v>
      </c>
      <c r="C15" s="231"/>
      <c r="D15" s="231"/>
      <c r="E15" s="41">
        <f>E5*2</f>
        <v>106165680</v>
      </c>
    </row>
    <row r="16" spans="2:5" ht="26.25" customHeight="1">
      <c r="B16" s="231" t="s">
        <v>89</v>
      </c>
      <c r="C16" s="231"/>
      <c r="D16" s="231"/>
      <c r="E16" s="41">
        <f>E5*3</f>
        <v>159248520</v>
      </c>
    </row>
    <row r="18" spans="2:5" ht="24">
      <c r="B18" s="226" t="s">
        <v>29</v>
      </c>
      <c r="C18" s="226"/>
      <c r="D18" s="226"/>
      <c r="E18" s="61">
        <v>365</v>
      </c>
    </row>
    <row r="19" spans="2:5" ht="24">
      <c r="B19" s="226" t="s">
        <v>30</v>
      </c>
      <c r="C19" s="226"/>
      <c r="D19" s="226"/>
      <c r="E19" s="62">
        <f>IF(((E7*E18/365)*2)&gt;E16,E16,((E7*E18/365)*2))</f>
        <v>106165680</v>
      </c>
    </row>
    <row r="20" spans="2:5" ht="24">
      <c r="B20" s="226" t="s">
        <v>33</v>
      </c>
      <c r="C20" s="226"/>
      <c r="D20" s="226"/>
      <c r="E20" s="62">
        <f>(E19-E13)*10%</f>
        <v>616568</v>
      </c>
    </row>
    <row r="21" spans="2:5" s="44" customFormat="1" ht="25.5" customHeight="1">
      <c r="B21" s="227" t="s">
        <v>34</v>
      </c>
      <c r="C21" s="227"/>
      <c r="D21" s="227"/>
      <c r="E21" s="227"/>
    </row>
    <row r="22" spans="2:5" s="44" customFormat="1" ht="25.5" customHeight="1">
      <c r="B22" s="227"/>
      <c r="C22" s="227"/>
      <c r="D22" s="227"/>
      <c r="E22" s="227"/>
    </row>
  </sheetData>
  <sheetProtection password="A60D" sheet="1" objects="1" scenarios="1"/>
  <mergeCells count="9">
    <mergeCell ref="B18:D18"/>
    <mergeCell ref="B19:D19"/>
    <mergeCell ref="B20:D20"/>
    <mergeCell ref="B21:E22"/>
    <mergeCell ref="C2:D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Niklin1</cp:lastModifiedBy>
  <cp:lastPrinted>2023-03-19T22:53:56Z</cp:lastPrinted>
  <dcterms:created xsi:type="dcterms:W3CDTF">2018-04-22T09:46:14Z</dcterms:created>
  <dcterms:modified xsi:type="dcterms:W3CDTF">2023-03-20T10:08:08Z</dcterms:modified>
  <cp:category/>
  <cp:version/>
  <cp:contentType/>
  <cp:contentStatus/>
</cp:coreProperties>
</file>